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My PC\Desktop\"/>
    </mc:Choice>
  </mc:AlternateContent>
  <xr:revisionPtr revIDLastSave="0" documentId="13_ncr:1_{B60B7996-1B74-457E-AD78-6F312240A269}" xr6:coauthVersionLast="36" xr6:coauthVersionMax="36" xr10:uidLastSave="{00000000-0000-0000-0000-000000000000}"/>
  <bookViews>
    <workbookView xWindow="0" yWindow="0" windowWidth="20490" windowHeight="7155" xr2:uid="{00000000-000D-0000-FFFF-FFFF00000000}"/>
  </bookViews>
  <sheets>
    <sheet name="Master" sheetId="3" r:id="rId1"/>
    <sheet name="Instructions" sheetId="5" r:id="rId2"/>
    <sheet name="Calculation" sheetId="1" state="hidden" r:id="rId3"/>
  </sheets>
  <definedNames>
    <definedName name="_xlnm._FilterDatabase" localSheetId="0" hidden="1">Master!$A$1:$G$48</definedName>
    <definedName name="category">Calculation!$G$3:$G$5</definedName>
    <definedName name="_xlnm.Print_Area" localSheetId="0">Master!$A$1:$F$49</definedName>
  </definedNames>
  <calcPr calcId="179021"/>
</workbook>
</file>

<file path=xl/calcChain.xml><?xml version="1.0" encoding="utf-8"?>
<calcChain xmlns="http://schemas.openxmlformats.org/spreadsheetml/2006/main">
  <c r="A9" i="3" l="1"/>
  <c r="F10" i="3"/>
  <c r="F28" i="3" l="1"/>
  <c r="B7" i="3"/>
  <c r="C7" i="3"/>
  <c r="B8" i="3" l="1"/>
  <c r="F13" i="3" s="1"/>
  <c r="C8" i="3"/>
  <c r="D21" i="3" s="1"/>
  <c r="D7" i="3"/>
  <c r="F7" i="3" s="1"/>
  <c r="B11" i="1"/>
  <c r="B12" i="1"/>
  <c r="B13" i="1" s="1"/>
  <c r="B14" i="1" s="1"/>
  <c r="B15" i="1" s="1"/>
  <c r="B16" i="1" s="1"/>
  <c r="B17" i="1" s="1"/>
  <c r="B18" i="1" s="1"/>
  <c r="B19" i="1" s="1"/>
  <c r="B20" i="1" s="1"/>
  <c r="B21" i="1" s="1"/>
  <c r="B22" i="1" s="1"/>
  <c r="B23" i="1" s="1"/>
  <c r="B24" i="1" s="1"/>
  <c r="B25" i="1" s="1"/>
  <c r="B26" i="1" s="1"/>
  <c r="N13" i="1"/>
  <c r="L21" i="1"/>
  <c r="Q21" i="1"/>
  <c r="L22" i="1"/>
  <c r="Q22" i="1"/>
  <c r="L23" i="1"/>
  <c r="Q23" i="1"/>
  <c r="Q24" i="1"/>
  <c r="Q25" i="1"/>
  <c r="Q26" i="1"/>
  <c r="L31" i="1"/>
  <c r="L32" i="1"/>
  <c r="L33" i="1"/>
  <c r="L39" i="1"/>
  <c r="L40" i="1"/>
  <c r="E8" i="3" l="1"/>
  <c r="F8" i="3" s="1"/>
  <c r="F15" i="3" s="1"/>
  <c r="E6" i="1" l="1"/>
  <c r="E27" i="1" s="1"/>
  <c r="J7" i="1" s="1"/>
  <c r="L11" i="1" s="1"/>
  <c r="Q10" i="1" s="1"/>
  <c r="F17" i="3"/>
  <c r="F29" i="3" s="1"/>
  <c r="F30" i="3" s="1"/>
  <c r="J8" i="1"/>
  <c r="J12" i="1" s="1"/>
  <c r="T8" i="1" s="1"/>
  <c r="U8" i="1" s="1"/>
  <c r="V8" i="1" s="1"/>
  <c r="J11" i="1" l="1"/>
  <c r="Q8" i="1" s="1"/>
  <c r="R8" i="1" s="1"/>
  <c r="R10" i="1"/>
  <c r="S10" i="1" s="1"/>
  <c r="K11" i="1"/>
  <c r="Q9" i="1" s="1"/>
  <c r="R9" i="1" s="1"/>
  <c r="F31" i="3"/>
  <c r="F32" i="3" s="1"/>
  <c r="S9" i="1"/>
  <c r="L12" i="1"/>
  <c r="I1" i="1" s="1"/>
  <c r="K12" i="1"/>
  <c r="T9" i="1" s="1"/>
  <c r="U9" i="1" s="1"/>
  <c r="S8" i="1" l="1"/>
  <c r="Q13" i="1" s="1"/>
  <c r="E29" i="1" s="1"/>
  <c r="T10" i="1"/>
  <c r="V9" i="1"/>
  <c r="U10" i="1"/>
  <c r="V10" i="1" l="1"/>
  <c r="R13" i="1" s="1"/>
  <c r="E30" i="1" s="1"/>
  <c r="F33" i="3" s="1"/>
  <c r="F34" i="3" s="1"/>
  <c r="F39" i="3" l="1"/>
  <c r="F46" i="3"/>
  <c r="C46" i="3"/>
  <c r="F36" i="3"/>
  <c r="F38" i="3" s="1"/>
  <c r="D42" i="3" s="1"/>
  <c r="D46" i="3"/>
  <c r="E46" i="3"/>
  <c r="D44" i="3" l="1"/>
  <c r="B44" i="3"/>
  <c r="F42" i="3"/>
  <c r="A42" i="3"/>
  <c r="E44" i="3"/>
  <c r="C44" i="3"/>
  <c r="A44" i="3"/>
  <c r="E42" i="3"/>
  <c r="C42" i="3"/>
  <c r="B42" i="3"/>
  <c r="F44" i="3" l="1"/>
  <c r="F47" i="3" s="1"/>
  <c r="E47" i="3"/>
  <c r="C47" i="3"/>
  <c r="D47" i="3"/>
  <c r="M31" i="3" l="1"/>
  <c r="A48" i="3" s="1"/>
  <c r="M32" i="3"/>
  <c r="E4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7" authorId="0" shapeId="0" xr:uid="{00000000-0006-0000-0100-000001000000}">
      <text>
        <r>
          <rPr>
            <b/>
            <sz val="9"/>
            <color indexed="81"/>
            <rFont val="Tahoma"/>
            <family val="2"/>
          </rPr>
          <t>user:</t>
        </r>
        <r>
          <rPr>
            <sz val="9"/>
            <color indexed="81"/>
            <rFont val="Tahoma"/>
            <family val="2"/>
          </rPr>
          <t xml:space="preserve">
ENTER BASIC SALARY OF MARCH 2020</t>
        </r>
      </text>
    </comment>
  </commentList>
</comments>
</file>

<file path=xl/sharedStrings.xml><?xml version="1.0" encoding="utf-8"?>
<sst xmlns="http://schemas.openxmlformats.org/spreadsheetml/2006/main" count="115" uniqueCount="91">
  <si>
    <t>Senior Citizen (60 Yrs or more)</t>
  </si>
  <si>
    <t>Senior Citizen (80 Yrs or more)</t>
  </si>
  <si>
    <t>Other</t>
  </si>
  <si>
    <t>A</t>
  </si>
  <si>
    <t>Enter your Gross Income without any deduction/exemption</t>
  </si>
  <si>
    <t>B</t>
  </si>
  <si>
    <t>Less: Select Allowances/Exemptions/Deductions/Set Off you are normally entitled to</t>
  </si>
  <si>
    <t>Fill estimated amount hereunder</t>
  </si>
  <si>
    <t>Txable Income old</t>
  </si>
  <si>
    <t>Old Scheme</t>
  </si>
  <si>
    <t>Rebate</t>
  </si>
  <si>
    <t>Net Tax</t>
  </si>
  <si>
    <t>New Scheme</t>
  </si>
  <si>
    <t>Taxable income new</t>
  </si>
  <si>
    <t>Senior Citizen</t>
  </si>
  <si>
    <t>Super Senior</t>
  </si>
  <si>
    <t>Others</t>
  </si>
  <si>
    <t>Tax as per old scheme</t>
  </si>
  <si>
    <t>Tax as per new scheme</t>
  </si>
  <si>
    <t>Final Tax based on category Selection</t>
  </si>
  <si>
    <t>Income tax slab old</t>
  </si>
  <si>
    <t>Income tax slab new</t>
  </si>
  <si>
    <t>From</t>
  </si>
  <si>
    <t>To</t>
  </si>
  <si>
    <t>Income Tax Rate</t>
  </si>
  <si>
    <t>Differential Rate</t>
  </si>
  <si>
    <t>above 1000000/-</t>
  </si>
  <si>
    <t>Income Tax Slab for Senior Citizens AY 2016-17 and AY 2015-16</t>
  </si>
  <si>
    <t>1500001 and above</t>
  </si>
  <si>
    <t>C</t>
  </si>
  <si>
    <t>Total Income (A-B)</t>
  </si>
  <si>
    <t>Tax under Old Regime (after Section 87A rebate)</t>
  </si>
  <si>
    <t>Tax under New Optinal Regime (after Section 87A rebate)</t>
  </si>
  <si>
    <t># only following allowances are exempt to the Individual or HUF exercising Option of New Simplified Personal Income Tax Regime:
(a) Transport Allowance granted to a divyang employee to meet expenditure for the purpose of commuting between place of residence and place of duty
(b) Conveyance Allowance granted to meet the expenditure on conveyance in performance of duties of an office;
(c) Any Allowance granted to meet the cost of travel on tour or on transfer;
(d) Daily Allowance to meet the ordinary daily charges incurred by employee for absence from his normal place of duty</t>
  </si>
  <si>
    <t>NAME :-</t>
  </si>
  <si>
    <t>POST</t>
  </si>
  <si>
    <t>D.A</t>
  </si>
  <si>
    <t>HRA</t>
  </si>
  <si>
    <t>MAR TO JUNE SALARY</t>
  </si>
  <si>
    <t>JULY TO FEB SALARY</t>
  </si>
  <si>
    <t xml:space="preserve">GROSS SALARY </t>
  </si>
  <si>
    <t>-</t>
  </si>
  <si>
    <t>STANDARD DEDUCTION</t>
  </si>
  <si>
    <t>GROSS TOTAL INCOME</t>
  </si>
  <si>
    <t>DEDUCTIONS:-</t>
  </si>
  <si>
    <t>80 C ,CCC ,CCD1       ( MAX 150000)</t>
  </si>
  <si>
    <t>HOUSE RENT  ALLOWANCE</t>
  </si>
  <si>
    <t>HOUSE LOAN INTEREST   (MAX 200000)</t>
  </si>
  <si>
    <t>MEDICLAIM ( MAX 25000 )</t>
  </si>
  <si>
    <t xml:space="preserve">EDUCATION LOAN </t>
  </si>
  <si>
    <r>
      <t>80TTA</t>
    </r>
    <r>
      <rPr>
        <b/>
        <sz val="10"/>
        <color theme="1"/>
        <rFont val="Calibri"/>
        <family val="2"/>
        <scheme val="minor"/>
      </rPr>
      <t xml:space="preserve"> (INTEREST ON SAVING BANK ACCOUNT ) MAX 40000</t>
    </r>
  </si>
  <si>
    <t>TOTAL DEDUCTIONS</t>
  </si>
  <si>
    <t xml:space="preserve">NET TAXABLE INCOME </t>
  </si>
  <si>
    <t>TAX</t>
  </si>
  <si>
    <t>CESS@4%</t>
  </si>
  <si>
    <t xml:space="preserve">TDS DEDUCTED TILL  NOW </t>
  </si>
  <si>
    <t xml:space="preserve">TAX PAYABLE  THROUGH TDS </t>
  </si>
  <si>
    <t xml:space="preserve">NO OF INSTALMENTS /MONTH REMAINING </t>
  </si>
  <si>
    <t>NET TAX PAYABLE AS PER OLD REGIME</t>
  </si>
  <si>
    <t xml:space="preserve">BENIFICIAL REGIME AMOUNT </t>
  </si>
  <si>
    <t xml:space="preserve">INTEREST ON SAVING BANK ACCOUNT </t>
  </si>
  <si>
    <t>BASIC AS ON 01-07-2020</t>
  </si>
  <si>
    <t xml:space="preserve">TAX AND CESS AS PER NEW REGIME </t>
  </si>
  <si>
    <t xml:space="preserve">ANY OTHER DEDUCTION                                                   </t>
  </si>
  <si>
    <t xml:space="preserve">Gross total SALARY/Income  for the year </t>
  </si>
  <si>
    <t>BASIC AS ON 01.03.2020</t>
  </si>
  <si>
    <t xml:space="preserve"> NOV 2020</t>
  </si>
  <si>
    <t xml:space="preserve">Short deduction </t>
  </si>
  <si>
    <t xml:space="preserve">MONTHLY EXPECTED TAX PAYABLE THROUGH TDS </t>
  </si>
  <si>
    <t xml:space="preserve">80G  ( Donations) / Corona relief </t>
  </si>
  <si>
    <t>HRA APPLICABLE</t>
  </si>
  <si>
    <t>PAN NO:-</t>
  </si>
  <si>
    <t>DA APPLICABLE-JULY 2020</t>
  </si>
  <si>
    <t>DA APPLICABLE- MARCH 2020</t>
  </si>
  <si>
    <t>Other Arrear</t>
  </si>
  <si>
    <t>Surrender Leave Taken-</t>
  </si>
  <si>
    <t>COMPUTATION OF ESTIMATED INCOME TAX PAYABLE FOR F.Y 2020-21</t>
  </si>
  <si>
    <t>80 CCD(1B)               (Maximum 50000)</t>
  </si>
  <si>
    <t>New Simplified Personal Income Tax Regime u/s 115BAC</t>
  </si>
  <si>
    <t>TDS TO BE DEDUCTED  PER MONTH</t>
  </si>
  <si>
    <r>
      <t xml:space="preserve"> The above Estimated TDS calculator has been prepared with atmost due care and precautions. Still the user is fully responsible for the out come .                                                                                                                 </t>
    </r>
    <r>
      <rPr>
        <sz val="10"/>
        <color theme="3" tint="0.39997558519241921"/>
        <rFont val="Calibri"/>
        <family val="2"/>
        <scheme val="minor"/>
      </rPr>
      <t xml:space="preserve">           </t>
    </r>
  </si>
  <si>
    <t>INCOME FROM OTHER SOURCES/  OTHER TAXABLE ALLOWANCES</t>
  </si>
  <si>
    <t>DA Arrear  July 2019</t>
  </si>
  <si>
    <t>For Months</t>
  </si>
  <si>
    <t>Please Fill in Yellow Cells to Calculate your Estimated TDS for FY 2020-21</t>
  </si>
  <si>
    <t>AXXXX1234X</t>
  </si>
  <si>
    <t>Government Higher Secondary School, ……………………</t>
  </si>
  <si>
    <t>Average TDS Per Month to be Deducted</t>
  </si>
  <si>
    <t xml:space="preserve">QUARTER WISE   REQUIRED TDS </t>
  </si>
  <si>
    <t>(HRA Received)</t>
  </si>
  <si>
    <t>BEFORE JULY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</si>
</sst>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_);_(@_)"/>
    <numFmt numFmtId="165" formatCode="_-* #,##0_-;\-* #,##0_-;_-* \-??_-;_-@_-"/>
    <numFmt numFmtId="166" formatCode="_(* #,##0_);_(* \(#,##0\);_(* \-??_);_(@_)"/>
  </numFmts>
  <fonts count="36" x14ac:knownFonts="1">
    <font>
      <sz val="11"/>
      <color indexed="8"/>
      <name val="Calibri"/>
      <family val="2"/>
      <charset val="1"/>
    </font>
    <font>
      <u/>
      <sz val="11"/>
      <color indexed="30"/>
      <name val="Calibri"/>
      <family val="2"/>
      <charset val="1"/>
    </font>
    <font>
      <sz val="11"/>
      <color indexed="8"/>
      <name val="Calibri"/>
      <family val="2"/>
      <charset val="1"/>
    </font>
    <font>
      <sz val="11"/>
      <color rgb="FFFF0000"/>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b/>
      <sz val="8"/>
      <name val="Calibri"/>
      <family val="2"/>
      <scheme val="minor"/>
    </font>
    <font>
      <b/>
      <sz val="11"/>
      <color rgb="FF00B050"/>
      <name val="Calibri"/>
      <family val="2"/>
      <scheme val="minor"/>
    </font>
    <font>
      <b/>
      <sz val="11"/>
      <color rgb="FFFF0000"/>
      <name val="Calibri"/>
      <family val="2"/>
      <scheme val="minor"/>
    </font>
    <font>
      <u/>
      <sz val="11"/>
      <color theme="10"/>
      <name val="Calibri"/>
      <family val="2"/>
    </font>
    <font>
      <b/>
      <sz val="11"/>
      <color rgb="FF00B0F0"/>
      <name val="Calibri"/>
      <family val="2"/>
      <scheme val="minor"/>
    </font>
    <font>
      <sz val="10"/>
      <color theme="3" tint="0.39997558519241921"/>
      <name val="Calibri"/>
      <family val="2"/>
      <scheme val="minor"/>
    </font>
    <font>
      <b/>
      <sz val="16"/>
      <color theme="4" tint="-0.499984740745262"/>
      <name val="Calibri"/>
      <family val="2"/>
      <scheme val="minor"/>
    </font>
    <font>
      <b/>
      <sz val="11"/>
      <color theme="4" tint="-0.499984740745262"/>
      <name val="Calibri"/>
      <family val="2"/>
      <scheme val="minor"/>
    </font>
    <font>
      <b/>
      <sz val="11"/>
      <name val="Calibri"/>
      <family val="2"/>
      <scheme val="minor"/>
    </font>
    <font>
      <sz val="9"/>
      <color indexed="81"/>
      <name val="Tahoma"/>
      <family val="2"/>
    </font>
    <font>
      <b/>
      <sz val="9"/>
      <color indexed="81"/>
      <name val="Tahoma"/>
      <family val="2"/>
    </font>
    <font>
      <b/>
      <sz val="16"/>
      <color indexed="8"/>
      <name val="Calibri"/>
      <family val="2"/>
    </font>
    <font>
      <b/>
      <sz val="11"/>
      <color indexed="8"/>
      <name val="Calibri"/>
      <family val="2"/>
    </font>
    <font>
      <b/>
      <sz val="14"/>
      <color rgb="FFFF0000"/>
      <name val="Calibri"/>
      <family val="2"/>
    </font>
    <font>
      <b/>
      <sz val="14"/>
      <color theme="1"/>
      <name val="Calibri"/>
      <family val="2"/>
    </font>
    <font>
      <sz val="11"/>
      <color theme="1"/>
      <name val="Calibri"/>
      <family val="2"/>
      <charset val="1"/>
    </font>
    <font>
      <b/>
      <i/>
      <sz val="13"/>
      <color theme="1"/>
      <name val="Calibri"/>
      <family val="2"/>
      <scheme val="minor"/>
    </font>
    <font>
      <b/>
      <sz val="11"/>
      <color theme="5" tint="-0.249977111117893"/>
      <name val="Calibri"/>
      <family val="2"/>
      <scheme val="minor"/>
    </font>
    <font>
      <u/>
      <sz val="11"/>
      <color theme="1"/>
      <name val="Calibri"/>
      <family val="2"/>
    </font>
    <font>
      <sz val="11"/>
      <color theme="1"/>
      <name val="Calibri"/>
      <family val="2"/>
    </font>
    <font>
      <b/>
      <sz val="13"/>
      <color theme="1"/>
      <name val="Arial"/>
      <family val="2"/>
      <charset val="1"/>
    </font>
    <font>
      <sz val="12"/>
      <color theme="1"/>
      <name val="Arial"/>
      <family val="2"/>
      <charset val="1"/>
    </font>
    <font>
      <b/>
      <sz val="12"/>
      <color theme="1"/>
      <name val="Arial"/>
      <family val="2"/>
      <charset val="1"/>
    </font>
    <font>
      <sz val="13"/>
      <color theme="1"/>
      <name val="Arial"/>
      <family val="2"/>
      <charset val="1"/>
    </font>
    <font>
      <b/>
      <sz val="11"/>
      <color theme="1"/>
      <name val="Calibri"/>
      <family val="2"/>
      <charset val="1"/>
    </font>
    <font>
      <sz val="20"/>
      <color theme="0"/>
      <name val="Calibri"/>
      <family val="2"/>
      <charset val="1"/>
    </font>
    <font>
      <sz val="11"/>
      <color theme="0"/>
      <name val="Calibri"/>
      <family val="2"/>
      <charset val="1"/>
    </font>
    <font>
      <b/>
      <sz val="10"/>
      <color theme="5" tint="-0.249977111117893"/>
      <name val="Calibri"/>
      <family val="2"/>
      <scheme val="minor"/>
    </font>
    <font>
      <b/>
      <sz val="11"/>
      <color theme="1"/>
      <name val="Calibri"/>
      <family val="2"/>
    </font>
  </fonts>
  <fills count="1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1"/>
        <bgColor indexed="34"/>
      </patternFill>
    </fill>
    <fill>
      <patternFill patternType="solid">
        <fgColor theme="1"/>
        <bgColor indexed="64"/>
      </patternFill>
    </fill>
    <fill>
      <patternFill patternType="solid">
        <fgColor theme="1"/>
        <bgColor indexed="41"/>
      </patternFill>
    </fill>
    <fill>
      <patternFill patternType="solid">
        <fgColor theme="1"/>
        <bgColor indexed="42"/>
      </patternFill>
    </fill>
    <fill>
      <patternFill patternType="solid">
        <fgColor theme="1"/>
        <bgColor indexed="52"/>
      </patternFill>
    </fill>
    <fill>
      <patternFill patternType="solid">
        <fgColor theme="1"/>
        <bgColor indexed="27"/>
      </patternFill>
    </fill>
    <fill>
      <patternFill patternType="solid">
        <fgColor theme="5" tint="0.79998168889431442"/>
        <bgColor indexed="64"/>
      </patternFill>
    </fill>
  </fills>
  <borders count="4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8"/>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8"/>
      </left>
      <right style="medium">
        <color indexed="8"/>
      </right>
      <top style="medium">
        <color indexed="8"/>
      </top>
      <bottom/>
      <diagonal/>
    </border>
    <border>
      <left/>
      <right/>
      <top style="medium">
        <color indexed="8"/>
      </top>
      <bottom/>
      <diagonal/>
    </border>
    <border>
      <left style="thin">
        <color indexed="8"/>
      </left>
      <right style="medium">
        <color indexed="8"/>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medium">
        <color indexed="8"/>
      </left>
      <right style="medium">
        <color indexed="8"/>
      </right>
      <top/>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style="medium">
        <color indexed="8"/>
      </left>
      <right/>
      <top style="medium">
        <color indexed="8"/>
      </top>
      <bottom style="medium">
        <color indexed="8"/>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164" fontId="2" fillId="0" borderId="0" applyFill="0" applyBorder="0" applyProtection="0"/>
    <xf numFmtId="0" fontId="1" fillId="0" borderId="0" applyNumberFormat="0" applyFill="0" applyBorder="0" applyProtection="0"/>
  </cellStyleXfs>
  <cellXfs count="167">
    <xf numFmtId="0" fontId="0" fillId="0" borderId="0" xfId="0"/>
    <xf numFmtId="0" fontId="5" fillId="0" borderId="20" xfId="0" applyFont="1" applyBorder="1" applyAlignment="1" applyProtection="1">
      <alignment horizontal="center" wrapText="1"/>
      <protection hidden="1"/>
    </xf>
    <xf numFmtId="0" fontId="4" fillId="0" borderId="20" xfId="0" applyFont="1" applyBorder="1" applyAlignment="1" applyProtection="1">
      <alignment horizontal="center" vertical="center"/>
      <protection hidden="1"/>
    </xf>
    <xf numFmtId="0" fontId="6" fillId="0" borderId="20" xfId="0" applyFont="1" applyBorder="1" applyAlignment="1" applyProtection="1">
      <alignment horizontal="center" vertical="center" wrapText="1"/>
      <protection hidden="1"/>
    </xf>
    <xf numFmtId="0" fontId="0" fillId="0" borderId="20" xfId="0" applyBorder="1" applyAlignment="1" applyProtection="1">
      <alignment horizontal="center" vertical="center"/>
      <protection hidden="1"/>
    </xf>
    <xf numFmtId="1" fontId="0" fillId="0" borderId="0" xfId="0" applyNumberFormat="1"/>
    <xf numFmtId="0" fontId="7" fillId="0" borderId="20" xfId="0" applyFont="1" applyBorder="1" applyAlignment="1" applyProtection="1">
      <alignment horizontal="center" wrapText="1"/>
      <protection hidden="1"/>
    </xf>
    <xf numFmtId="0" fontId="4" fillId="0" borderId="20" xfId="0" applyFont="1" applyBorder="1" applyProtection="1">
      <protection hidden="1"/>
    </xf>
    <xf numFmtId="0" fontId="0" fillId="0" borderId="0" xfId="0" applyAlignment="1"/>
    <xf numFmtId="0" fontId="9" fillId="0" borderId="20" xfId="0" applyFont="1" applyBorder="1" applyProtection="1">
      <protection hidden="1"/>
    </xf>
    <xf numFmtId="0" fontId="4" fillId="0" borderId="20" xfId="0" applyFont="1" applyBorder="1" applyAlignment="1" applyProtection="1">
      <alignment horizontal="right" vertical="center"/>
      <protection hidden="1"/>
    </xf>
    <xf numFmtId="1" fontId="11" fillId="0" borderId="20" xfId="0" applyNumberFormat="1" applyFont="1" applyBorder="1" applyProtection="1">
      <protection hidden="1"/>
    </xf>
    <xf numFmtId="0" fontId="0" fillId="0" borderId="20" xfId="0" applyBorder="1" applyAlignment="1" applyProtection="1">
      <alignment horizontal="center"/>
      <protection hidden="1"/>
    </xf>
    <xf numFmtId="0" fontId="0" fillId="0" borderId="20" xfId="0" quotePrefix="1" applyBorder="1" applyAlignment="1" applyProtection="1">
      <alignment horizontal="center" vertical="center"/>
      <protection hidden="1"/>
    </xf>
    <xf numFmtId="0" fontId="0" fillId="0" borderId="0" xfId="0" applyProtection="1">
      <protection hidden="1"/>
    </xf>
    <xf numFmtId="1" fontId="0" fillId="0" borderId="0" xfId="0" applyNumberFormat="1" applyProtection="1">
      <protection hidden="1"/>
    </xf>
    <xf numFmtId="0" fontId="3" fillId="2" borderId="20" xfId="0" applyFont="1" applyFill="1" applyBorder="1" applyAlignment="1" applyProtection="1">
      <protection locked="0" hidden="1"/>
    </xf>
    <xf numFmtId="0" fontId="3" fillId="2" borderId="20" xfId="0" applyFont="1" applyFill="1" applyBorder="1" applyAlignment="1" applyProtection="1">
      <alignment horizontal="center"/>
      <protection locked="0" hidden="1"/>
    </xf>
    <xf numFmtId="0" fontId="4" fillId="2" borderId="20" xfId="0" applyFont="1" applyFill="1" applyBorder="1" applyAlignment="1" applyProtection="1">
      <alignment horizontal="right" vertical="center"/>
      <protection locked="0" hidden="1"/>
    </xf>
    <xf numFmtId="1" fontId="4" fillId="3" borderId="20" xfId="0" applyNumberFormat="1" applyFont="1" applyFill="1" applyBorder="1" applyAlignment="1" applyProtection="1">
      <alignment horizontal="center" vertical="top"/>
      <protection hidden="1"/>
    </xf>
    <xf numFmtId="0" fontId="4" fillId="3" borderId="20" xfId="0" applyFont="1" applyFill="1" applyBorder="1" applyAlignment="1" applyProtection="1">
      <alignment horizontal="right" vertical="center"/>
      <protection hidden="1"/>
    </xf>
    <xf numFmtId="0" fontId="0" fillId="2" borderId="20" xfId="0" applyFont="1" applyFill="1" applyBorder="1" applyAlignment="1" applyProtection="1">
      <alignment wrapText="1"/>
      <protection locked="0" hidden="1"/>
    </xf>
    <xf numFmtId="0" fontId="4" fillId="0" borderId="20" xfId="0" applyFont="1" applyBorder="1" applyAlignment="1" applyProtection="1">
      <alignment horizontal="center"/>
      <protection hidden="1"/>
    </xf>
    <xf numFmtId="0" fontId="5" fillId="2" borderId="23" xfId="0" applyFont="1" applyFill="1" applyBorder="1" applyAlignment="1" applyProtection="1">
      <alignment horizontal="center" vertical="center" wrapText="1"/>
      <protection locked="0" hidden="1"/>
    </xf>
    <xf numFmtId="9" fontId="5" fillId="2" borderId="20" xfId="0" applyNumberFormat="1" applyFont="1" applyFill="1" applyBorder="1" applyAlignment="1" applyProtection="1">
      <alignment vertical="center" wrapText="1"/>
      <protection locked="0" hidden="1"/>
    </xf>
    <xf numFmtId="0" fontId="5" fillId="0" borderId="21" xfId="0" applyFont="1" applyBorder="1" applyAlignment="1" applyProtection="1">
      <alignment vertical="center" wrapText="1"/>
      <protection hidden="1"/>
    </xf>
    <xf numFmtId="0" fontId="4" fillId="0" borderId="22" xfId="0" applyFont="1" applyBorder="1" applyAlignment="1" applyProtection="1">
      <alignment horizontal="center"/>
      <protection hidden="1"/>
    </xf>
    <xf numFmtId="0" fontId="9" fillId="2" borderId="21" xfId="0" applyFont="1" applyFill="1" applyBorder="1" applyAlignment="1" applyProtection="1">
      <protection locked="0" hidden="1"/>
    </xf>
    <xf numFmtId="0" fontId="0" fillId="2" borderId="23" xfId="0" applyFont="1" applyFill="1" applyBorder="1" applyAlignment="1" applyProtection="1">
      <alignment wrapText="1"/>
      <protection locked="0" hidden="1"/>
    </xf>
    <xf numFmtId="1" fontId="4" fillId="5" borderId="20" xfId="0" applyNumberFormat="1" applyFont="1" applyFill="1" applyBorder="1" applyProtection="1">
      <protection hidden="1"/>
    </xf>
    <xf numFmtId="0" fontId="4" fillId="2" borderId="20" xfId="0" applyFont="1" applyFill="1" applyBorder="1" applyProtection="1">
      <protection locked="0" hidden="1"/>
    </xf>
    <xf numFmtId="1" fontId="4" fillId="0" borderId="20" xfId="0" applyNumberFormat="1" applyFont="1" applyBorder="1" applyProtection="1">
      <protection hidden="1"/>
    </xf>
    <xf numFmtId="1" fontId="4" fillId="3" borderId="20" xfId="0" applyNumberFormat="1" applyFont="1" applyFill="1" applyBorder="1" applyProtection="1">
      <protection hidden="1"/>
    </xf>
    <xf numFmtId="0" fontId="0" fillId="3" borderId="0" xfId="0" applyFill="1"/>
    <xf numFmtId="17" fontId="19" fillId="3" borderId="20" xfId="0" applyNumberFormat="1" applyFont="1" applyFill="1" applyBorder="1" applyAlignment="1" applyProtection="1">
      <alignment horizontal="center"/>
      <protection hidden="1"/>
    </xf>
    <xf numFmtId="0" fontId="26" fillId="2" borderId="20" xfId="0" applyFont="1" applyFill="1" applyBorder="1" applyAlignment="1" applyProtection="1">
      <alignment horizontal="center"/>
      <protection locked="0" hidden="1"/>
    </xf>
    <xf numFmtId="0" fontId="19" fillId="3" borderId="20" xfId="0" applyFont="1" applyFill="1" applyBorder="1" applyAlignment="1" applyProtection="1">
      <alignment horizontal="center"/>
      <protection hidden="1"/>
    </xf>
    <xf numFmtId="166" fontId="29" fillId="7" borderId="0" xfId="1" applyNumberFormat="1" applyFont="1" applyFill="1" applyBorder="1" applyAlignment="1" applyProtection="1">
      <protection hidden="1"/>
    </xf>
    <xf numFmtId="0" fontId="4" fillId="4" borderId="20" xfId="0" applyFont="1" applyFill="1" applyBorder="1" applyProtection="1">
      <protection hidden="1"/>
    </xf>
    <xf numFmtId="0" fontId="4" fillId="2" borderId="23" xfId="0" applyFont="1" applyFill="1" applyBorder="1" applyAlignment="1" applyProtection="1">
      <alignment horizontal="center"/>
      <protection locked="0" hidden="1"/>
    </xf>
    <xf numFmtId="0" fontId="0" fillId="0" borderId="21" xfId="0" applyBorder="1" applyAlignment="1" applyProtection="1">
      <alignment horizontal="left" vertical="center" wrapText="1"/>
      <protection hidden="1"/>
    </xf>
    <xf numFmtId="0" fontId="0" fillId="0" borderId="22" xfId="0" applyBorder="1" applyAlignment="1" applyProtection="1">
      <alignment horizontal="left" vertical="center" wrapText="1"/>
      <protection hidden="1"/>
    </xf>
    <xf numFmtId="0" fontId="0" fillId="0" borderId="23" xfId="0" applyBorder="1" applyAlignment="1" applyProtection="1">
      <alignment horizontal="left" vertical="center" wrapText="1"/>
      <protection hidden="1"/>
    </xf>
    <xf numFmtId="0" fontId="4" fillId="0" borderId="21" xfId="0" applyFont="1" applyBorder="1" applyAlignment="1" applyProtection="1">
      <alignment horizontal="left"/>
      <protection hidden="1"/>
    </xf>
    <xf numFmtId="0" fontId="4" fillId="0" borderId="22" xfId="0" applyFont="1" applyBorder="1" applyAlignment="1" applyProtection="1">
      <alignment horizontal="left"/>
      <protection hidden="1"/>
    </xf>
    <xf numFmtId="0" fontId="4" fillId="0" borderId="23" xfId="0" applyFont="1" applyBorder="1" applyAlignment="1" applyProtection="1">
      <alignment horizontal="left"/>
      <protection hidden="1"/>
    </xf>
    <xf numFmtId="0" fontId="8" fillId="0" borderId="20" xfId="0" applyFont="1" applyBorder="1" applyAlignment="1" applyProtection="1">
      <alignment horizontal="left" wrapText="1"/>
      <protection hidden="1"/>
    </xf>
    <xf numFmtId="0" fontId="4" fillId="0" borderId="20" xfId="0" applyFont="1" applyBorder="1" applyAlignment="1" applyProtection="1">
      <alignment horizontal="left" wrapText="1"/>
      <protection hidden="1"/>
    </xf>
    <xf numFmtId="0" fontId="4" fillId="0" borderId="27" xfId="0" applyFont="1" applyBorder="1" applyAlignment="1" applyProtection="1">
      <alignment horizontal="left" wrapText="1"/>
      <protection hidden="1"/>
    </xf>
    <xf numFmtId="0" fontId="4" fillId="0" borderId="28" xfId="0" applyFont="1" applyBorder="1" applyAlignment="1" applyProtection="1">
      <alignment horizontal="left" wrapText="1"/>
      <protection hidden="1"/>
    </xf>
    <xf numFmtId="0" fontId="10" fillId="3" borderId="21" xfId="2" applyFont="1" applyFill="1" applyBorder="1" applyAlignment="1" applyProtection="1">
      <alignment horizontal="center"/>
      <protection hidden="1"/>
    </xf>
    <xf numFmtId="0" fontId="10" fillId="3" borderId="22" xfId="2" applyFont="1" applyFill="1" applyBorder="1" applyAlignment="1" applyProtection="1">
      <alignment horizontal="center"/>
      <protection hidden="1"/>
    </xf>
    <xf numFmtId="0" fontId="10" fillId="3" borderId="23" xfId="2" applyFont="1" applyFill="1" applyBorder="1" applyAlignment="1" applyProtection="1">
      <alignment horizontal="center"/>
      <protection hidden="1"/>
    </xf>
    <xf numFmtId="0" fontId="13" fillId="2" borderId="19" xfId="0" applyFont="1" applyFill="1" applyBorder="1" applyAlignment="1" applyProtection="1">
      <alignment horizontal="center"/>
      <protection locked="0"/>
    </xf>
    <xf numFmtId="0" fontId="23" fillId="0" borderId="20" xfId="0" applyFont="1" applyBorder="1" applyAlignment="1" applyProtection="1">
      <alignment horizontal="center" vertical="center" wrapText="1"/>
      <protection hidden="1"/>
    </xf>
    <xf numFmtId="0" fontId="5" fillId="2" borderId="22" xfId="0" applyFont="1" applyFill="1" applyBorder="1" applyAlignment="1" applyProtection="1">
      <alignment vertical="center" wrapText="1"/>
      <protection locked="0" hidden="1"/>
    </xf>
    <xf numFmtId="0" fontId="5" fillId="2" borderId="23" xfId="0" applyFont="1" applyFill="1" applyBorder="1" applyAlignment="1" applyProtection="1">
      <alignment vertical="center" wrapText="1"/>
      <protection locked="0" hidden="1"/>
    </xf>
    <xf numFmtId="0" fontId="0" fillId="0" borderId="20" xfId="0" applyBorder="1" applyAlignment="1" applyProtection="1">
      <alignment horizontal="center" vertical="center"/>
      <protection hidden="1"/>
    </xf>
    <xf numFmtId="0" fontId="0" fillId="0" borderId="20" xfId="0" quotePrefix="1" applyBorder="1" applyAlignment="1" applyProtection="1">
      <alignment horizontal="center" vertical="center"/>
      <protection hidden="1"/>
    </xf>
    <xf numFmtId="0" fontId="4" fillId="0" borderId="20" xfId="0" applyFont="1" applyBorder="1" applyAlignment="1" applyProtection="1">
      <alignment horizontal="right" vertical="center"/>
      <protection hidden="1"/>
    </xf>
    <xf numFmtId="0" fontId="25" fillId="5" borderId="21" xfId="2" applyFont="1" applyFill="1" applyBorder="1" applyAlignment="1" applyProtection="1">
      <alignment horizontal="center"/>
      <protection hidden="1"/>
    </xf>
    <xf numFmtId="0" fontId="25" fillId="5" borderId="22" xfId="2" applyFont="1" applyFill="1" applyBorder="1" applyAlignment="1" applyProtection="1">
      <alignment horizontal="center"/>
      <protection hidden="1"/>
    </xf>
    <xf numFmtId="0" fontId="25" fillId="5" borderId="23" xfId="2" applyFont="1" applyFill="1" applyBorder="1" applyAlignment="1" applyProtection="1">
      <alignment horizontal="center"/>
      <protection hidden="1"/>
    </xf>
    <xf numFmtId="0" fontId="9" fillId="0" borderId="20" xfId="0" applyFont="1" applyBorder="1" applyAlignment="1" applyProtection="1">
      <alignment horizontal="center"/>
      <protection hidden="1"/>
    </xf>
    <xf numFmtId="0" fontId="10" fillId="0" borderId="20" xfId="2" applyFont="1" applyBorder="1" applyAlignment="1" applyProtection="1">
      <alignment horizontal="center"/>
      <protection hidden="1"/>
    </xf>
    <xf numFmtId="0" fontId="0" fillId="0" borderId="20" xfId="0" applyBorder="1" applyAlignment="1" applyProtection="1">
      <alignment horizontal="center"/>
      <protection hidden="1"/>
    </xf>
    <xf numFmtId="0" fontId="10" fillId="3" borderId="20" xfId="2" applyFont="1" applyFill="1" applyBorder="1" applyAlignment="1" applyProtection="1">
      <alignment horizontal="center"/>
      <protection hidden="1"/>
    </xf>
    <xf numFmtId="0" fontId="0" fillId="3" borderId="20" xfId="0" applyFill="1" applyBorder="1" applyAlignment="1" applyProtection="1">
      <alignment horizontal="center"/>
      <protection hidden="1"/>
    </xf>
    <xf numFmtId="0" fontId="0" fillId="4" borderId="20" xfId="0" applyFill="1" applyBorder="1" applyAlignment="1" applyProtection="1">
      <alignment horizontal="center"/>
      <protection hidden="1"/>
    </xf>
    <xf numFmtId="0" fontId="4" fillId="0" borderId="21" xfId="0" applyFont="1" applyBorder="1" applyAlignment="1" applyProtection="1">
      <alignment horizontal="left" wrapText="1"/>
      <protection hidden="1"/>
    </xf>
    <xf numFmtId="0" fontId="4" fillId="0" borderId="22" xfId="0" applyFont="1" applyBorder="1" applyAlignment="1" applyProtection="1">
      <alignment horizontal="left" wrapText="1"/>
      <protection hidden="1"/>
    </xf>
    <xf numFmtId="0" fontId="4" fillId="0" borderId="23" xfId="0" applyFont="1" applyBorder="1" applyAlignment="1" applyProtection="1">
      <alignment horizontal="left" wrapText="1"/>
      <protection hidden="1"/>
    </xf>
    <xf numFmtId="0" fontId="5" fillId="0" borderId="21" xfId="0" applyFont="1" applyBorder="1" applyAlignment="1" applyProtection="1">
      <alignment horizontal="center" vertical="center" wrapText="1"/>
      <protection hidden="1"/>
    </xf>
    <xf numFmtId="0" fontId="5" fillId="0" borderId="22" xfId="0" applyFont="1" applyBorder="1" applyAlignment="1" applyProtection="1">
      <alignment horizontal="center" vertical="center" wrapText="1"/>
      <protection hidden="1"/>
    </xf>
    <xf numFmtId="0" fontId="4" fillId="3" borderId="22" xfId="0" applyFont="1" applyFill="1" applyBorder="1" applyAlignment="1" applyProtection="1">
      <alignment horizontal="center" vertical="center" wrapText="1"/>
      <protection locked="0" hidden="1"/>
    </xf>
    <xf numFmtId="0" fontId="5" fillId="2" borderId="20" xfId="0" applyFont="1" applyFill="1" applyBorder="1" applyAlignment="1" applyProtection="1">
      <alignment horizontal="center" vertical="center" wrapText="1"/>
      <protection locked="0" hidden="1"/>
    </xf>
    <xf numFmtId="0" fontId="5" fillId="3" borderId="22" xfId="0" applyFont="1" applyFill="1" applyBorder="1" applyAlignment="1" applyProtection="1">
      <alignment horizontal="center" vertical="center" wrapText="1"/>
      <protection locked="0" hidden="1"/>
    </xf>
    <xf numFmtId="0" fontId="4" fillId="0" borderId="21" xfId="0" applyFont="1" applyBorder="1" applyAlignment="1" applyProtection="1">
      <alignment horizontal="center"/>
      <protection hidden="1"/>
    </xf>
    <xf numFmtId="0" fontId="4" fillId="0" borderId="22" xfId="0" applyFont="1" applyBorder="1" applyAlignment="1" applyProtection="1">
      <alignment horizontal="center"/>
      <protection hidden="1"/>
    </xf>
    <xf numFmtId="0" fontId="4" fillId="0" borderId="23" xfId="0" applyFont="1" applyBorder="1" applyAlignment="1" applyProtection="1">
      <alignment horizontal="center"/>
      <protection hidden="1"/>
    </xf>
    <xf numFmtId="0" fontId="4" fillId="0" borderId="21" xfId="0" applyFont="1" applyBorder="1" applyAlignment="1" applyProtection="1">
      <alignment horizontal="center" wrapText="1"/>
      <protection hidden="1"/>
    </xf>
    <xf numFmtId="0" fontId="4" fillId="0" borderId="22" xfId="0" applyFont="1" applyBorder="1" applyAlignment="1" applyProtection="1">
      <alignment horizontal="center" wrapText="1"/>
      <protection hidden="1"/>
    </xf>
    <xf numFmtId="0" fontId="3" fillId="0" borderId="20" xfId="0" applyFont="1" applyBorder="1" applyAlignment="1" applyProtection="1">
      <alignment horizontal="center"/>
      <protection locked="0" hidden="1"/>
    </xf>
    <xf numFmtId="0" fontId="14" fillId="0" borderId="20" xfId="0" applyFont="1" applyBorder="1" applyAlignment="1" applyProtection="1">
      <alignment horizontal="center"/>
      <protection hidden="1"/>
    </xf>
    <xf numFmtId="0" fontId="22" fillId="6" borderId="0" xfId="0" applyFont="1" applyFill="1" applyProtection="1">
      <protection hidden="1"/>
    </xf>
    <xf numFmtId="0" fontId="22" fillId="7" borderId="0" xfId="0" applyFont="1" applyFill="1" applyProtection="1">
      <protection hidden="1"/>
    </xf>
    <xf numFmtId="0" fontId="27" fillId="6" borderId="1" xfId="0" applyFont="1" applyFill="1" applyBorder="1" applyAlignment="1" applyProtection="1">
      <alignment horizontal="center" vertical="center"/>
      <protection hidden="1"/>
    </xf>
    <xf numFmtId="0" fontId="28" fillId="7" borderId="0" xfId="0" applyFont="1" applyFill="1" applyProtection="1">
      <protection hidden="1"/>
    </xf>
    <xf numFmtId="0" fontId="22" fillId="8" borderId="1" xfId="0" applyFont="1" applyFill="1" applyBorder="1" applyProtection="1">
      <protection hidden="1"/>
    </xf>
    <xf numFmtId="0" fontId="29" fillId="8" borderId="1" xfId="0" applyFont="1" applyFill="1" applyBorder="1" applyAlignment="1" applyProtection="1">
      <alignment horizontal="left" vertical="center"/>
      <protection hidden="1"/>
    </xf>
    <xf numFmtId="0" fontId="30" fillId="9" borderId="1" xfId="0" applyFont="1" applyFill="1" applyBorder="1" applyAlignment="1" applyProtection="1">
      <alignment horizontal="left" vertical="center" wrapText="1"/>
      <protection hidden="1"/>
    </xf>
    <xf numFmtId="0" fontId="22" fillId="6" borderId="2" xfId="0" applyFont="1" applyFill="1" applyBorder="1" applyAlignment="1" applyProtection="1">
      <alignment horizontal="center"/>
      <protection hidden="1"/>
    </xf>
    <xf numFmtId="0" fontId="28" fillId="6" borderId="0" xfId="0" applyFont="1" applyFill="1" applyProtection="1">
      <protection hidden="1"/>
    </xf>
    <xf numFmtId="0" fontId="29" fillId="7" borderId="3" xfId="0" applyFont="1" applyFill="1" applyBorder="1" applyAlignment="1" applyProtection="1">
      <alignment horizontal="right"/>
      <protection hidden="1"/>
    </xf>
    <xf numFmtId="0" fontId="29" fillId="7" borderId="4" xfId="0" applyFont="1" applyFill="1" applyBorder="1" applyProtection="1">
      <protection hidden="1"/>
    </xf>
    <xf numFmtId="0" fontId="28" fillId="7" borderId="4" xfId="0" applyFont="1" applyFill="1" applyBorder="1" applyProtection="1">
      <protection hidden="1"/>
    </xf>
    <xf numFmtId="165" fontId="28" fillId="9" borderId="3" xfId="1" applyNumberFormat="1" applyFont="1" applyFill="1" applyBorder="1" applyAlignment="1" applyProtection="1">
      <protection hidden="1"/>
    </xf>
    <xf numFmtId="0" fontId="29" fillId="7" borderId="5" xfId="0" applyFont="1" applyFill="1" applyBorder="1" applyAlignment="1" applyProtection="1">
      <alignment horizontal="right" vertical="top"/>
      <protection hidden="1"/>
    </xf>
    <xf numFmtId="0" fontId="29" fillId="7" borderId="6" xfId="0" applyFont="1" applyFill="1" applyBorder="1" applyAlignment="1" applyProtection="1">
      <alignment wrapText="1"/>
      <protection hidden="1"/>
    </xf>
    <xf numFmtId="0" fontId="22" fillId="7" borderId="6" xfId="0" applyFont="1" applyFill="1" applyBorder="1" applyProtection="1">
      <protection hidden="1"/>
    </xf>
    <xf numFmtId="0" fontId="28" fillId="7" borderId="5" xfId="0" applyFont="1" applyFill="1" applyBorder="1" applyAlignment="1" applyProtection="1">
      <alignment vertical="top" wrapText="1"/>
      <protection hidden="1"/>
    </xf>
    <xf numFmtId="0" fontId="22" fillId="10" borderId="0" xfId="0" applyFont="1" applyFill="1" applyProtection="1">
      <protection hidden="1"/>
    </xf>
    <xf numFmtId="0" fontId="28" fillId="7" borderId="7" xfId="0" applyFont="1" applyFill="1" applyBorder="1" applyAlignment="1" applyProtection="1">
      <alignment vertical="center"/>
      <protection hidden="1"/>
    </xf>
    <xf numFmtId="0" fontId="28" fillId="7" borderId="8" xfId="0" applyFont="1" applyFill="1" applyBorder="1" applyProtection="1">
      <protection hidden="1"/>
    </xf>
    <xf numFmtId="0" fontId="22" fillId="7" borderId="9" xfId="0" applyFont="1" applyFill="1" applyBorder="1" applyProtection="1">
      <protection hidden="1"/>
    </xf>
    <xf numFmtId="165" fontId="28" fillId="9" borderId="10" xfId="1" applyNumberFormat="1" applyFont="1" applyFill="1" applyBorder="1" applyAlignment="1" applyProtection="1">
      <protection hidden="1"/>
    </xf>
    <xf numFmtId="165" fontId="28" fillId="7" borderId="0" xfId="0" applyNumberFormat="1" applyFont="1" applyFill="1" applyProtection="1">
      <protection hidden="1"/>
    </xf>
    <xf numFmtId="0" fontId="28" fillId="7" borderId="11" xfId="0" applyFont="1" applyFill="1" applyBorder="1" applyProtection="1">
      <protection hidden="1"/>
    </xf>
    <xf numFmtId="0" fontId="28" fillId="7" borderId="1" xfId="0" applyFont="1" applyFill="1" applyBorder="1" applyProtection="1">
      <protection hidden="1"/>
    </xf>
    <xf numFmtId="0" fontId="28" fillId="7" borderId="1" xfId="0" applyFont="1" applyFill="1" applyBorder="1" applyAlignment="1" applyProtection="1">
      <alignment horizontal="center"/>
      <protection hidden="1"/>
    </xf>
    <xf numFmtId="0" fontId="29" fillId="7" borderId="0" xfId="0" applyFont="1" applyFill="1" applyProtection="1">
      <protection hidden="1"/>
    </xf>
    <xf numFmtId="0" fontId="28" fillId="7" borderId="9" xfId="0" applyFont="1" applyFill="1" applyBorder="1" applyAlignment="1" applyProtection="1">
      <alignment horizontal="left" wrapText="1"/>
      <protection hidden="1"/>
    </xf>
    <xf numFmtId="0" fontId="28" fillId="7" borderId="8" xfId="0" applyFont="1" applyFill="1" applyBorder="1" applyAlignment="1" applyProtection="1">
      <alignment horizontal="left" wrapText="1"/>
      <protection hidden="1"/>
    </xf>
    <xf numFmtId="0" fontId="28" fillId="7" borderId="9" xfId="0" applyFont="1" applyFill="1" applyBorder="1" applyAlignment="1" applyProtection="1">
      <alignment horizontal="left" wrapText="1"/>
      <protection hidden="1"/>
    </xf>
    <xf numFmtId="0" fontId="22" fillId="11" borderId="1" xfId="0" applyFont="1" applyFill="1" applyBorder="1" applyAlignment="1" applyProtection="1">
      <alignment horizontal="center"/>
      <protection hidden="1"/>
    </xf>
    <xf numFmtId="0" fontId="22" fillId="11" borderId="12" xfId="0" applyFont="1" applyFill="1" applyBorder="1" applyAlignment="1" applyProtection="1">
      <alignment horizontal="center"/>
      <protection hidden="1"/>
    </xf>
    <xf numFmtId="2" fontId="22" fillId="11" borderId="12" xfId="0" applyNumberFormat="1" applyFont="1" applyFill="1" applyBorder="1" applyAlignment="1" applyProtection="1">
      <alignment horizontal="center"/>
      <protection hidden="1"/>
    </xf>
    <xf numFmtId="0" fontId="22" fillId="11" borderId="13" xfId="0" applyFont="1" applyFill="1" applyBorder="1" applyAlignment="1" applyProtection="1">
      <alignment horizontal="center"/>
      <protection hidden="1"/>
    </xf>
    <xf numFmtId="2" fontId="22" fillId="11" borderId="13" xfId="0" applyNumberFormat="1" applyFont="1" applyFill="1" applyBorder="1" applyAlignment="1" applyProtection="1">
      <alignment horizontal="center"/>
      <protection hidden="1"/>
    </xf>
    <xf numFmtId="0" fontId="22" fillId="11" borderId="0" xfId="0" applyFont="1" applyFill="1" applyProtection="1">
      <protection hidden="1"/>
    </xf>
    <xf numFmtId="0" fontId="28" fillId="7" borderId="14" xfId="0" applyFont="1" applyFill="1" applyBorder="1" applyAlignment="1" applyProtection="1">
      <alignment vertical="center"/>
      <protection hidden="1"/>
    </xf>
    <xf numFmtId="0" fontId="28" fillId="7" borderId="15" xfId="0" applyFont="1" applyFill="1" applyBorder="1" applyProtection="1">
      <protection hidden="1"/>
    </xf>
    <xf numFmtId="0" fontId="22" fillId="7" borderId="16" xfId="0" applyFont="1" applyFill="1" applyBorder="1" applyProtection="1">
      <protection hidden="1"/>
    </xf>
    <xf numFmtId="165" fontId="28" fillId="9" borderId="17" xfId="1" applyNumberFormat="1" applyFont="1" applyFill="1" applyBorder="1" applyAlignment="1" applyProtection="1">
      <protection hidden="1"/>
    </xf>
    <xf numFmtId="0" fontId="31" fillId="11" borderId="0" xfId="0" applyFont="1" applyFill="1" applyProtection="1">
      <protection hidden="1"/>
    </xf>
    <xf numFmtId="0" fontId="29" fillId="7" borderId="3" xfId="0" applyFont="1" applyFill="1" applyBorder="1" applyAlignment="1" applyProtection="1">
      <alignment horizontal="right" vertical="center"/>
      <protection hidden="1"/>
    </xf>
    <xf numFmtId="0" fontId="29" fillId="7" borderId="18" xfId="0" applyFont="1" applyFill="1" applyBorder="1" applyProtection="1">
      <protection hidden="1"/>
    </xf>
    <xf numFmtId="165" fontId="28" fillId="7" borderId="3" xfId="1" applyNumberFormat="1" applyFont="1" applyFill="1" applyBorder="1" applyAlignment="1" applyProtection="1">
      <protection hidden="1"/>
    </xf>
    <xf numFmtId="0" fontId="29" fillId="7" borderId="0" xfId="0" applyFont="1" applyFill="1" applyBorder="1" applyAlignment="1" applyProtection="1">
      <alignment horizontal="right" vertical="center"/>
      <protection hidden="1"/>
    </xf>
    <xf numFmtId="0" fontId="29" fillId="7" borderId="0" xfId="0" applyFont="1" applyFill="1" applyBorder="1" applyProtection="1">
      <protection hidden="1"/>
    </xf>
    <xf numFmtId="0" fontId="28" fillId="7" borderId="0" xfId="0" applyFont="1" applyFill="1" applyBorder="1" applyProtection="1">
      <protection hidden="1"/>
    </xf>
    <xf numFmtId="165" fontId="28" fillId="7" borderId="0" xfId="1" applyNumberFormat="1" applyFont="1" applyFill="1" applyBorder="1" applyAlignment="1" applyProtection="1">
      <protection hidden="1"/>
    </xf>
    <xf numFmtId="0" fontId="22" fillId="7" borderId="0" xfId="0" applyFont="1" applyFill="1" applyBorder="1" applyAlignment="1" applyProtection="1">
      <alignment horizontal="left" wrapText="1"/>
      <protection hidden="1"/>
    </xf>
    <xf numFmtId="0" fontId="22" fillId="6" borderId="0" xfId="0" applyFont="1" applyFill="1" applyAlignment="1" applyProtection="1">
      <alignment horizontal="left" wrapText="1"/>
      <protection hidden="1"/>
    </xf>
    <xf numFmtId="0" fontId="22" fillId="7" borderId="0" xfId="0" applyFont="1" applyFill="1" applyAlignment="1" applyProtection="1">
      <alignment horizontal="left" wrapText="1"/>
      <protection hidden="1"/>
    </xf>
    <xf numFmtId="0" fontId="32" fillId="7" borderId="0" xfId="0" applyFont="1" applyFill="1"/>
    <xf numFmtId="0" fontId="33" fillId="7" borderId="0" xfId="0" applyFont="1" applyFill="1"/>
    <xf numFmtId="0" fontId="34" fillId="0" borderId="21" xfId="0" applyFont="1" applyBorder="1" applyAlignment="1" applyProtection="1">
      <alignment wrapText="1"/>
      <protection hidden="1"/>
    </xf>
    <xf numFmtId="0" fontId="24" fillId="0" borderId="23" xfId="0" applyFont="1" applyBorder="1" applyAlignment="1" applyProtection="1">
      <alignment horizontal="left" wrapText="1"/>
      <protection hidden="1"/>
    </xf>
    <xf numFmtId="0" fontId="26" fillId="3" borderId="25" xfId="0" applyFont="1" applyFill="1" applyBorder="1" applyAlignment="1" applyProtection="1">
      <alignment horizontal="center"/>
      <protection hidden="1"/>
    </xf>
    <xf numFmtId="0" fontId="26" fillId="3" borderId="29" xfId="0" applyFont="1" applyFill="1" applyBorder="1" applyAlignment="1" applyProtection="1">
      <alignment horizontal="center"/>
      <protection hidden="1"/>
    </xf>
    <xf numFmtId="1" fontId="4" fillId="3" borderId="26" xfId="0" applyNumberFormat="1" applyFont="1" applyFill="1" applyBorder="1" applyProtection="1">
      <protection hidden="1"/>
    </xf>
    <xf numFmtId="17" fontId="19" fillId="3" borderId="33" xfId="0" applyNumberFormat="1" applyFont="1" applyFill="1" applyBorder="1" applyAlignment="1" applyProtection="1">
      <alignment horizontal="center"/>
      <protection hidden="1"/>
    </xf>
    <xf numFmtId="17" fontId="15" fillId="3" borderId="34" xfId="0" applyNumberFormat="1" applyFont="1" applyFill="1" applyBorder="1" applyAlignment="1" applyProtection="1">
      <alignment horizontal="center"/>
      <protection hidden="1"/>
    </xf>
    <xf numFmtId="0" fontId="26" fillId="2" borderId="33" xfId="0" applyFont="1" applyFill="1" applyBorder="1" applyAlignment="1" applyProtection="1">
      <alignment horizontal="center"/>
      <protection locked="0" hidden="1"/>
    </xf>
    <xf numFmtId="0" fontId="26" fillId="2" borderId="34" xfId="0" applyFont="1" applyFill="1" applyBorder="1" applyAlignment="1" applyProtection="1">
      <alignment horizontal="center"/>
      <protection locked="0" hidden="1"/>
    </xf>
    <xf numFmtId="0" fontId="26" fillId="2" borderId="35" xfId="0" applyFont="1" applyFill="1" applyBorder="1" applyAlignment="1" applyProtection="1">
      <alignment horizontal="center"/>
      <protection locked="0" hidden="1"/>
    </xf>
    <xf numFmtId="0" fontId="26" fillId="2" borderId="36" xfId="0" applyFont="1" applyFill="1" applyBorder="1" applyAlignment="1" applyProtection="1">
      <alignment horizontal="center"/>
      <protection locked="0" hidden="1"/>
    </xf>
    <xf numFmtId="1" fontId="35" fillId="3" borderId="37" xfId="0" applyNumberFormat="1" applyFont="1" applyFill="1" applyBorder="1" applyAlignment="1" applyProtection="1">
      <alignment horizontal="center"/>
      <protection hidden="1"/>
    </xf>
    <xf numFmtId="0" fontId="20" fillId="3" borderId="28" xfId="0" applyFont="1" applyFill="1" applyBorder="1" applyAlignment="1" applyProtection="1">
      <alignment horizontal="center" wrapText="1"/>
      <protection hidden="1"/>
    </xf>
    <xf numFmtId="1" fontId="21" fillId="3" borderId="19" xfId="0" applyNumberFormat="1" applyFont="1" applyFill="1" applyBorder="1" applyAlignment="1" applyProtection="1">
      <alignment horizontal="center"/>
      <protection hidden="1"/>
    </xf>
    <xf numFmtId="1" fontId="21" fillId="3" borderId="24" xfId="0" applyNumberFormat="1" applyFont="1" applyFill="1" applyBorder="1" applyAlignment="1" applyProtection="1">
      <alignment horizontal="center"/>
      <protection hidden="1"/>
    </xf>
    <xf numFmtId="0" fontId="19" fillId="12" borderId="38" xfId="0" applyFont="1" applyFill="1" applyBorder="1" applyAlignment="1" applyProtection="1">
      <alignment horizontal="center" vertical="center" wrapText="1"/>
      <protection hidden="1"/>
    </xf>
    <xf numFmtId="0" fontId="19" fillId="12" borderId="39" xfId="0" applyFont="1" applyFill="1" applyBorder="1" applyAlignment="1" applyProtection="1">
      <alignment horizontal="center" vertical="center" wrapText="1"/>
      <protection hidden="1"/>
    </xf>
    <xf numFmtId="17" fontId="0" fillId="12" borderId="40" xfId="0" applyNumberFormat="1" applyFill="1" applyBorder="1" applyAlignment="1" applyProtection="1">
      <alignment horizontal="center"/>
      <protection hidden="1"/>
    </xf>
    <xf numFmtId="17" fontId="0" fillId="12" borderId="41" xfId="0" applyNumberFormat="1" applyFill="1" applyBorder="1" applyAlignment="1" applyProtection="1">
      <alignment horizontal="center"/>
      <protection hidden="1"/>
    </xf>
    <xf numFmtId="0" fontId="19" fillId="12" borderId="42" xfId="0" applyFont="1" applyFill="1" applyBorder="1" applyAlignment="1" applyProtection="1">
      <alignment horizontal="center" vertical="center" wrapText="1"/>
      <protection hidden="1"/>
    </xf>
    <xf numFmtId="0" fontId="19" fillId="12" borderId="24" xfId="0" applyFont="1" applyFill="1" applyBorder="1" applyAlignment="1" applyProtection="1">
      <alignment horizontal="center" vertical="center" wrapText="1"/>
      <protection hidden="1"/>
    </xf>
    <xf numFmtId="0" fontId="0" fillId="12" borderId="20" xfId="0" applyFill="1" applyBorder="1" applyAlignment="1" applyProtection="1">
      <alignment horizontal="center"/>
      <protection hidden="1"/>
    </xf>
    <xf numFmtId="0" fontId="15" fillId="12" borderId="34" xfId="0" applyFont="1" applyFill="1" applyBorder="1" applyAlignment="1" applyProtection="1">
      <alignment horizontal="center"/>
      <protection hidden="1"/>
    </xf>
    <xf numFmtId="0" fontId="26" fillId="12" borderId="43" xfId="0" applyFont="1" applyFill="1" applyBorder="1" applyAlignment="1" applyProtection="1">
      <alignment horizontal="center" wrapText="1"/>
      <protection hidden="1"/>
    </xf>
    <xf numFmtId="0" fontId="26" fillId="12" borderId="44" xfId="0" applyFont="1" applyFill="1" applyBorder="1" applyAlignment="1" applyProtection="1">
      <alignment horizontal="center" wrapText="1"/>
      <protection hidden="1"/>
    </xf>
    <xf numFmtId="1" fontId="26" fillId="12" borderId="36" xfId="0" applyNumberFormat="1" applyFont="1" applyFill="1" applyBorder="1" applyAlignment="1" applyProtection="1">
      <alignment horizontal="center"/>
      <protection hidden="1"/>
    </xf>
    <xf numFmtId="1" fontId="4" fillId="12" borderId="37" xfId="0" applyNumberFormat="1" applyFont="1" applyFill="1" applyBorder="1" applyAlignment="1" applyProtection="1">
      <alignment horizontal="center"/>
      <protection hidden="1"/>
    </xf>
    <xf numFmtId="0" fontId="18" fillId="12" borderId="30" xfId="0" applyFont="1" applyFill="1" applyBorder="1" applyAlignment="1" applyProtection="1">
      <alignment horizontal="center"/>
      <protection hidden="1"/>
    </xf>
    <xf numFmtId="0" fontId="19" fillId="12" borderId="31" xfId="0" applyFont="1" applyFill="1" applyBorder="1" applyAlignment="1" applyProtection="1">
      <alignment horizontal="center"/>
      <protection hidden="1"/>
    </xf>
    <xf numFmtId="0" fontId="19" fillId="12" borderId="32" xfId="0" applyFont="1" applyFill="1" applyBorder="1" applyAlignment="1" applyProtection="1">
      <alignment horizontal="center"/>
      <protection hidden="1"/>
    </xf>
  </cellXfs>
  <cellStyles count="3">
    <cellStyle name="Comma" xfId="1" builtinId="3"/>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5E0B4"/>
      <rgbColor rgb="00808080"/>
      <rgbColor rgb="009999FF"/>
      <rgbColor rgb="00993366"/>
      <rgbColor rgb="00FBE5D6"/>
      <rgbColor rgb="00DEEBF7"/>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0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youtu.be/gNizknzAF_E" TargetMode="External"/></Relationships>
</file>

<file path=xl/drawings/drawing1.xml><?xml version="1.0" encoding="utf-8"?>
<xdr:wsDr xmlns:xdr="http://schemas.openxmlformats.org/drawingml/2006/spreadsheetDrawing" xmlns:a="http://schemas.openxmlformats.org/drawingml/2006/main">
  <xdr:twoCellAnchor>
    <xdr:from>
      <xdr:col>2</xdr:col>
      <xdr:colOff>2305050</xdr:colOff>
      <xdr:row>0</xdr:row>
      <xdr:rowOff>95250</xdr:rowOff>
    </xdr:from>
    <xdr:to>
      <xdr:col>3</xdr:col>
      <xdr:colOff>9525</xdr:colOff>
      <xdr:row>0</xdr:row>
      <xdr:rowOff>590550</xdr:rowOff>
    </xdr:to>
    <xdr:pic>
      <xdr:nvPicPr>
        <xdr:cNvPr id="1027" name="Picture 8">
          <a:hlinkClick xmlns:r="http://schemas.openxmlformats.org/officeDocument/2006/relationships" r:id="rId1"/>
          <a:extLst>
            <a:ext uri="{FF2B5EF4-FFF2-40B4-BE49-F238E27FC236}">
              <a16:creationId xmlns:a16="http://schemas.microsoft.com/office/drawing/2014/main" id="{00000000-0008-0000-0200-000003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81300" y="95250"/>
          <a:ext cx="1352550" cy="4953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absolute">
    <xdr:from>
      <xdr:col>2</xdr:col>
      <xdr:colOff>914400</xdr:colOff>
      <xdr:row>5</xdr:row>
      <xdr:rowOff>38100</xdr:rowOff>
    </xdr:from>
    <xdr:to>
      <xdr:col>2</xdr:col>
      <xdr:colOff>1200150</xdr:colOff>
      <xdr:row>5</xdr:row>
      <xdr:rowOff>171450</xdr:rowOff>
    </xdr:to>
    <xdr:sp macro="" textlink="">
      <xdr:nvSpPr>
        <xdr:cNvPr id="1029" name="Arrow: Notched Right 8">
          <a:extLst>
            <a:ext uri="{FF2B5EF4-FFF2-40B4-BE49-F238E27FC236}">
              <a16:creationId xmlns:a16="http://schemas.microsoft.com/office/drawing/2014/main" id="{00000000-0008-0000-0200-000005040000}"/>
            </a:ext>
          </a:extLst>
        </xdr:cNvPr>
        <xdr:cNvSpPr>
          <a:spLocks noChangeArrowheads="1"/>
        </xdr:cNvSpPr>
      </xdr:nvSpPr>
      <xdr:spPr bwMode="auto">
        <a:xfrm>
          <a:off x="5143500" y="1581150"/>
          <a:ext cx="285750" cy="133350"/>
        </a:xfrm>
        <a:custGeom>
          <a:avLst/>
          <a:gdLst>
            <a:gd name="G0" fmla="min 826 402"/>
            <a:gd name="G1" fmla="*/ 32767 826 1"/>
            <a:gd name="G2" fmla="*/ G1 1 G0"/>
            <a:gd name="G3" fmla="+- 0 0 50000"/>
            <a:gd name="G4" fmla="+- 32767 0 50000"/>
            <a:gd name="G5" fmla="?: G4 50000 32767"/>
            <a:gd name="G6" fmla="?: G3 0 G4"/>
            <a:gd name="G7" fmla="+- 0 0 50000"/>
            <a:gd name="G8" fmla="+- G2 0 50000"/>
            <a:gd name="G9" fmla="?: G8 50000 G2"/>
            <a:gd name="G10" fmla="?: G7 0 G8"/>
            <a:gd name="G11" fmla="*/ G0 G10 1"/>
            <a:gd name="G12" fmla="*/ G11 1 32767"/>
            <a:gd name="G13" fmla="+- 826 0 G12"/>
            <a:gd name="G14" fmla="*/ 402 G6 1"/>
            <a:gd name="G15" fmla="*/ G14 1 32767"/>
            <a:gd name="G16" fmla="*/ 402 1 2"/>
            <a:gd name="G17" fmla="+- G16 0 G15"/>
            <a:gd name="G18" fmla="+- G16 G15 0"/>
            <a:gd name="G19" fmla="+- G18 0 0"/>
            <a:gd name="G20" fmla="*/ 402 1 2"/>
            <a:gd name="G21" fmla="*/ G15 G12 1"/>
            <a:gd name="G22" fmla="*/ G21 1 G20"/>
            <a:gd name="G23" fmla="+- 826 0 G22"/>
            <a:gd name="G24" fmla="+- 826 0 0"/>
            <a:gd name="G25" fmla="+- 402 0 0"/>
          </a:gdLst>
          <a:ahLst/>
          <a:cxnLst>
            <a:cxn ang="0">
              <a:pos x="r" y="vc"/>
            </a:cxn>
            <a:cxn ang="5400000">
              <a:pos x="hc" y="b"/>
            </a:cxn>
            <a:cxn ang="10800000">
              <a:pos x="l" y="vc"/>
            </a:cxn>
            <a:cxn ang="16200000">
              <a:pos x="hc" y="t"/>
            </a:cxn>
          </a:cxnLst>
          <a:rect l="0" t="0" r="0" b="0"/>
          <a:pathLst>
            <a:path>
              <a:moveTo>
                <a:pt x="0" y="412"/>
              </a:moveTo>
              <a:lnTo>
                <a:pt x="613" y="412"/>
              </a:lnTo>
              <a:lnTo>
                <a:pt x="613" y="0"/>
              </a:lnTo>
              <a:lnTo>
                <a:pt x="826" y="201"/>
              </a:lnTo>
              <a:lnTo>
                <a:pt x="613" y="402"/>
              </a:lnTo>
              <a:lnTo>
                <a:pt x="613" y="-10"/>
              </a:lnTo>
              <a:lnTo>
                <a:pt x="0" y="-10"/>
              </a:lnTo>
              <a:lnTo>
                <a:pt x="-224" y="201"/>
              </a:lnTo>
              <a:close/>
            </a:path>
          </a:pathLst>
        </a:custGeom>
        <a:solidFill>
          <a:srgbClr val="FF0000"/>
        </a:solidFill>
        <a:ln w="1260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2</xdr:col>
      <xdr:colOff>2066925</xdr:colOff>
      <xdr:row>6</xdr:row>
      <xdr:rowOff>209550</xdr:rowOff>
    </xdr:from>
    <xdr:to>
      <xdr:col>3</xdr:col>
      <xdr:colOff>85725</xdr:colOff>
      <xdr:row>6</xdr:row>
      <xdr:rowOff>381000</xdr:rowOff>
    </xdr:to>
    <xdr:sp macro="" textlink="">
      <xdr:nvSpPr>
        <xdr:cNvPr id="1030" name="Arrow: Notched Right 9">
          <a:extLst>
            <a:ext uri="{FF2B5EF4-FFF2-40B4-BE49-F238E27FC236}">
              <a16:creationId xmlns:a16="http://schemas.microsoft.com/office/drawing/2014/main" id="{00000000-0008-0000-0200-000006040000}"/>
            </a:ext>
          </a:extLst>
        </xdr:cNvPr>
        <xdr:cNvSpPr>
          <a:spLocks noChangeArrowheads="1"/>
        </xdr:cNvSpPr>
      </xdr:nvSpPr>
      <xdr:spPr bwMode="auto">
        <a:xfrm>
          <a:off x="6296025" y="1952625"/>
          <a:ext cx="133350" cy="171450"/>
        </a:xfrm>
        <a:custGeom>
          <a:avLst/>
          <a:gdLst>
            <a:gd name="G0" fmla="min 381 487"/>
            <a:gd name="G1" fmla="*/ 32767 381 1"/>
            <a:gd name="G2" fmla="*/ G1 1 G0"/>
            <a:gd name="G3" fmla="+- 0 0 50000"/>
            <a:gd name="G4" fmla="+- 32767 0 50000"/>
            <a:gd name="G5" fmla="?: G4 50000 32767"/>
            <a:gd name="G6" fmla="?: G3 0 G4"/>
            <a:gd name="G7" fmla="+- 0 0 50000"/>
            <a:gd name="G8" fmla="+- G2 0 50000"/>
            <a:gd name="G9" fmla="?: G8 50000 G2"/>
            <a:gd name="G10" fmla="?: G7 0 G8"/>
            <a:gd name="G11" fmla="*/ G0 G10 1"/>
            <a:gd name="G12" fmla="*/ G11 1 32767"/>
            <a:gd name="G13" fmla="+- 381 0 G12"/>
            <a:gd name="G14" fmla="*/ 487 G6 1"/>
            <a:gd name="G15" fmla="*/ G14 1 32767"/>
            <a:gd name="G16" fmla="*/ 487 1 2"/>
            <a:gd name="G17" fmla="+- G16 0 G15"/>
            <a:gd name="G18" fmla="+- G16 G15 0"/>
            <a:gd name="G19" fmla="+- G18 0 0"/>
            <a:gd name="G20" fmla="*/ 487 1 2"/>
            <a:gd name="G21" fmla="*/ G15 G12 1"/>
            <a:gd name="G22" fmla="*/ G21 1 G20"/>
            <a:gd name="G23" fmla="+- 381 0 G22"/>
            <a:gd name="G24" fmla="+- 381 0 0"/>
            <a:gd name="G25" fmla="+- 487 0 0"/>
          </a:gdLst>
          <a:ahLst/>
          <a:cxnLst>
            <a:cxn ang="0">
              <a:pos x="r" y="vc"/>
            </a:cxn>
            <a:cxn ang="5400000">
              <a:pos x="hc" y="b"/>
            </a:cxn>
            <a:cxn ang="10800000">
              <a:pos x="l" y="vc"/>
            </a:cxn>
            <a:cxn ang="16200000">
              <a:pos x="hc" y="t"/>
            </a:cxn>
          </a:cxnLst>
          <a:rect l="0" t="0" r="0" b="0"/>
          <a:pathLst>
            <a:path>
              <a:moveTo>
                <a:pt x="0" y="500"/>
              </a:moveTo>
              <a:lnTo>
                <a:pt x="581" y="500"/>
              </a:lnTo>
              <a:lnTo>
                <a:pt x="581" y="0"/>
              </a:lnTo>
              <a:lnTo>
                <a:pt x="381" y="244"/>
              </a:lnTo>
              <a:lnTo>
                <a:pt x="581" y="487"/>
              </a:lnTo>
              <a:lnTo>
                <a:pt x="581" y="-12"/>
              </a:lnTo>
              <a:lnTo>
                <a:pt x="0" y="-12"/>
              </a:lnTo>
              <a:lnTo>
                <a:pt x="210" y="244"/>
              </a:lnTo>
              <a:close/>
            </a:path>
          </a:pathLst>
        </a:custGeom>
        <a:solidFill>
          <a:srgbClr val="FF0000"/>
        </a:solidFill>
        <a:ln w="1260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2</xdr:col>
      <xdr:colOff>904875</xdr:colOff>
      <xdr:row>3</xdr:row>
      <xdr:rowOff>200025</xdr:rowOff>
    </xdr:from>
    <xdr:to>
      <xdr:col>2</xdr:col>
      <xdr:colOff>1181100</xdr:colOff>
      <xdr:row>3</xdr:row>
      <xdr:rowOff>342900</xdr:rowOff>
    </xdr:to>
    <xdr:sp macro="" textlink="">
      <xdr:nvSpPr>
        <xdr:cNvPr id="1031" name="Arrow: Notched Right 10">
          <a:extLst>
            <a:ext uri="{FF2B5EF4-FFF2-40B4-BE49-F238E27FC236}">
              <a16:creationId xmlns:a16="http://schemas.microsoft.com/office/drawing/2014/main" id="{00000000-0008-0000-0200-000007040000}"/>
            </a:ext>
          </a:extLst>
        </xdr:cNvPr>
        <xdr:cNvSpPr>
          <a:spLocks noChangeArrowheads="1"/>
        </xdr:cNvSpPr>
      </xdr:nvSpPr>
      <xdr:spPr bwMode="auto">
        <a:xfrm>
          <a:off x="5133975" y="1181100"/>
          <a:ext cx="276225" cy="142875"/>
        </a:xfrm>
        <a:custGeom>
          <a:avLst/>
          <a:gdLst>
            <a:gd name="G0" fmla="min 826 402"/>
            <a:gd name="G1" fmla="*/ 32767 826 1"/>
            <a:gd name="G2" fmla="*/ G1 1 G0"/>
            <a:gd name="G3" fmla="+- 0 0 50000"/>
            <a:gd name="G4" fmla="+- 32767 0 50000"/>
            <a:gd name="G5" fmla="?: G4 50000 32767"/>
            <a:gd name="G6" fmla="?: G3 0 G4"/>
            <a:gd name="G7" fmla="+- 0 0 50000"/>
            <a:gd name="G8" fmla="+- G2 0 50000"/>
            <a:gd name="G9" fmla="?: G8 50000 G2"/>
            <a:gd name="G10" fmla="?: G7 0 G8"/>
            <a:gd name="G11" fmla="*/ G0 G10 1"/>
            <a:gd name="G12" fmla="*/ G11 1 32767"/>
            <a:gd name="G13" fmla="+- 826 0 G12"/>
            <a:gd name="G14" fmla="*/ 402 G6 1"/>
            <a:gd name="G15" fmla="*/ G14 1 32767"/>
            <a:gd name="G16" fmla="*/ 402 1 2"/>
            <a:gd name="G17" fmla="+- G16 0 G15"/>
            <a:gd name="G18" fmla="+- G16 G15 0"/>
            <a:gd name="G19" fmla="+- G18 0 0"/>
            <a:gd name="G20" fmla="*/ 402 1 2"/>
            <a:gd name="G21" fmla="*/ G15 G12 1"/>
            <a:gd name="G22" fmla="*/ G21 1 G20"/>
            <a:gd name="G23" fmla="+- 826 0 G22"/>
            <a:gd name="G24" fmla="+- 826 0 0"/>
            <a:gd name="G25" fmla="+- 402 0 0"/>
          </a:gdLst>
          <a:ahLst/>
          <a:cxnLst>
            <a:cxn ang="0">
              <a:pos x="r" y="vc"/>
            </a:cxn>
            <a:cxn ang="5400000">
              <a:pos x="hc" y="b"/>
            </a:cxn>
            <a:cxn ang="10800000">
              <a:pos x="l" y="vc"/>
            </a:cxn>
            <a:cxn ang="16200000">
              <a:pos x="hc" y="t"/>
            </a:cxn>
          </a:cxnLst>
          <a:rect l="0" t="0" r="0" b="0"/>
          <a:pathLst>
            <a:path>
              <a:moveTo>
                <a:pt x="0" y="412"/>
              </a:moveTo>
              <a:lnTo>
                <a:pt x="613" y="412"/>
              </a:lnTo>
              <a:lnTo>
                <a:pt x="613" y="0"/>
              </a:lnTo>
              <a:lnTo>
                <a:pt x="826" y="201"/>
              </a:lnTo>
              <a:lnTo>
                <a:pt x="613" y="402"/>
              </a:lnTo>
              <a:lnTo>
                <a:pt x="613" y="-10"/>
              </a:lnTo>
              <a:lnTo>
                <a:pt x="0" y="-10"/>
              </a:lnTo>
              <a:lnTo>
                <a:pt x="-224" y="201"/>
              </a:lnTo>
              <a:close/>
            </a:path>
          </a:pathLst>
        </a:custGeom>
        <a:solidFill>
          <a:srgbClr val="FF0000"/>
        </a:solidFill>
        <a:ln w="1260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CESS@4%25"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9"/>
  <sheetViews>
    <sheetView tabSelected="1" view="pageLayout" zoomScaleNormal="100" workbookViewId="0">
      <selection activeCell="A12" sqref="A12:E12"/>
    </sheetView>
  </sheetViews>
  <sheetFormatPr defaultRowHeight="15" x14ac:dyDescent="0.25"/>
  <cols>
    <col min="1" max="1" width="16.85546875" customWidth="1"/>
    <col min="2" max="2" width="14.140625" customWidth="1"/>
    <col min="3" max="3" width="13.5703125" customWidth="1"/>
    <col min="4" max="4" width="12.42578125" customWidth="1"/>
    <col min="5" max="5" width="16.42578125" customWidth="1"/>
    <col min="6" max="6" width="14.85546875" customWidth="1"/>
    <col min="7" max="10" width="9.140625" customWidth="1"/>
    <col min="13" max="13" width="0" hidden="1" customWidth="1"/>
    <col min="17" max="17" width="16.7109375" customWidth="1"/>
  </cols>
  <sheetData>
    <row r="1" spans="1:7" ht="21" x14ac:dyDescent="0.35">
      <c r="A1" s="53" t="s">
        <v>86</v>
      </c>
      <c r="B1" s="53"/>
      <c r="C1" s="53"/>
      <c r="D1" s="53"/>
      <c r="E1" s="53"/>
      <c r="F1" s="53"/>
    </row>
    <row r="2" spans="1:7" ht="17.25" x14ac:dyDescent="0.25">
      <c r="A2" s="54" t="s">
        <v>76</v>
      </c>
      <c r="B2" s="54"/>
      <c r="C2" s="54"/>
      <c r="D2" s="54"/>
      <c r="E2" s="54"/>
      <c r="F2" s="54"/>
    </row>
    <row r="3" spans="1:7" ht="15.75" x14ac:dyDescent="0.25">
      <c r="A3" s="25" t="s">
        <v>34</v>
      </c>
      <c r="B3" s="55"/>
      <c r="C3" s="55"/>
      <c r="D3" s="56"/>
      <c r="E3" s="25" t="s">
        <v>35</v>
      </c>
      <c r="F3" s="23"/>
    </row>
    <row r="4" spans="1:7" ht="15.75" x14ac:dyDescent="0.25">
      <c r="A4" s="25" t="s">
        <v>71</v>
      </c>
      <c r="B4" s="75" t="s">
        <v>85</v>
      </c>
      <c r="C4" s="75"/>
      <c r="D4" s="76" t="s">
        <v>72</v>
      </c>
      <c r="E4" s="76"/>
      <c r="F4" s="24">
        <v>0.17</v>
      </c>
    </row>
    <row r="5" spans="1:7" ht="24" customHeight="1" x14ac:dyDescent="0.25">
      <c r="A5" s="72" t="s">
        <v>70</v>
      </c>
      <c r="B5" s="73"/>
      <c r="C5" s="24">
        <v>0.08</v>
      </c>
      <c r="D5" s="74" t="s">
        <v>73</v>
      </c>
      <c r="E5" s="74"/>
      <c r="F5" s="24">
        <v>0.17</v>
      </c>
    </row>
    <row r="6" spans="1:7" ht="31.5" x14ac:dyDescent="0.25">
      <c r="A6" s="1" t="s">
        <v>65</v>
      </c>
      <c r="B6" s="2" t="s">
        <v>36</v>
      </c>
      <c r="C6" s="2" t="s">
        <v>37</v>
      </c>
      <c r="D6" s="3" t="s">
        <v>38</v>
      </c>
      <c r="E6" s="3" t="s">
        <v>39</v>
      </c>
      <c r="F6" s="2" t="s">
        <v>40</v>
      </c>
    </row>
    <row r="7" spans="1:7" ht="17.25" customHeight="1" x14ac:dyDescent="0.25">
      <c r="A7" s="17">
        <v>61300</v>
      </c>
      <c r="B7" s="4">
        <f>A7*F5</f>
        <v>10421</v>
      </c>
      <c r="C7" s="4">
        <f>A7*C5</f>
        <v>4904</v>
      </c>
      <c r="D7" s="12">
        <f>(A7+B7+C7)*4</f>
        <v>306500</v>
      </c>
      <c r="E7" s="13" t="s">
        <v>41</v>
      </c>
      <c r="F7" s="10">
        <f>SUM(D7:E7)</f>
        <v>306500</v>
      </c>
      <c r="G7" s="5"/>
    </row>
    <row r="8" spans="1:7" ht="13.5" customHeight="1" x14ac:dyDescent="0.25">
      <c r="A8" s="6" t="s">
        <v>61</v>
      </c>
      <c r="B8" s="57">
        <f>A9*F4</f>
        <v>10727</v>
      </c>
      <c r="C8" s="57">
        <f>A9*C5</f>
        <v>5048</v>
      </c>
      <c r="D8" s="58" t="s">
        <v>41</v>
      </c>
      <c r="E8" s="57">
        <f>(A9+B8+C8)*8</f>
        <v>631000</v>
      </c>
      <c r="F8" s="59">
        <f>SUM(E8)</f>
        <v>631000</v>
      </c>
      <c r="G8" s="5"/>
    </row>
    <row r="9" spans="1:7" ht="12" customHeight="1" x14ac:dyDescent="0.25">
      <c r="A9" s="22">
        <f>ROUND(A7+A7/100*3,-2)</f>
        <v>63100</v>
      </c>
      <c r="B9" s="57"/>
      <c r="C9" s="57"/>
      <c r="D9" s="58"/>
      <c r="E9" s="57"/>
      <c r="F9" s="59"/>
      <c r="G9" s="5"/>
    </row>
    <row r="10" spans="1:7" x14ac:dyDescent="0.25">
      <c r="A10" s="43" t="s">
        <v>82</v>
      </c>
      <c r="B10" s="44"/>
      <c r="C10" s="44"/>
      <c r="D10" s="26" t="s">
        <v>83</v>
      </c>
      <c r="E10" s="39">
        <v>8</v>
      </c>
      <c r="F10" s="20">
        <f>A7*0.05*E10</f>
        <v>24520</v>
      </c>
      <c r="G10" s="5"/>
    </row>
    <row r="11" spans="1:7" x14ac:dyDescent="0.25">
      <c r="A11" s="43" t="s">
        <v>74</v>
      </c>
      <c r="B11" s="44"/>
      <c r="C11" s="44"/>
      <c r="D11" s="44"/>
      <c r="E11" s="45"/>
      <c r="F11" s="18"/>
      <c r="G11" s="5"/>
    </row>
    <row r="12" spans="1:7" x14ac:dyDescent="0.25">
      <c r="A12" s="43" t="s">
        <v>81</v>
      </c>
      <c r="B12" s="44"/>
      <c r="C12" s="44"/>
      <c r="D12" s="44"/>
      <c r="E12" s="45"/>
      <c r="F12" s="18"/>
      <c r="G12" s="5"/>
    </row>
    <row r="13" spans="1:7" x14ac:dyDescent="0.25">
      <c r="A13" s="77" t="s">
        <v>75</v>
      </c>
      <c r="B13" s="78"/>
      <c r="C13" s="78"/>
      <c r="D13" s="79"/>
      <c r="E13" s="27" t="s">
        <v>90</v>
      </c>
      <c r="F13" s="19">
        <f>IF(E13="BEFORE JULY",(A7+B7)/2,IF(E13="AFTER JULY",(A9+B8)/2,"0"))</f>
        <v>35860.5</v>
      </c>
      <c r="G13" s="5"/>
    </row>
    <row r="14" spans="1:7" x14ac:dyDescent="0.25">
      <c r="A14" s="43" t="s">
        <v>60</v>
      </c>
      <c r="B14" s="44"/>
      <c r="C14" s="44"/>
      <c r="D14" s="44"/>
      <c r="E14" s="45"/>
      <c r="F14" s="18"/>
      <c r="G14" s="5"/>
    </row>
    <row r="15" spans="1:7" x14ac:dyDescent="0.25">
      <c r="A15" s="82" t="s">
        <v>64</v>
      </c>
      <c r="B15" s="82"/>
      <c r="C15" s="82"/>
      <c r="D15" s="82"/>
      <c r="E15" s="82"/>
      <c r="F15" s="9">
        <f>SUM($F7:$F14)</f>
        <v>997880.5</v>
      </c>
      <c r="G15" s="5"/>
    </row>
    <row r="16" spans="1:7" ht="15" customHeight="1" x14ac:dyDescent="0.25">
      <c r="A16" s="69" t="s">
        <v>42</v>
      </c>
      <c r="B16" s="70"/>
      <c r="C16" s="70"/>
      <c r="D16" s="70"/>
      <c r="E16" s="71"/>
      <c r="F16" s="7">
        <v>-50000</v>
      </c>
    </row>
    <row r="17" spans="1:14" x14ac:dyDescent="0.25">
      <c r="A17" s="83" t="s">
        <v>43</v>
      </c>
      <c r="B17" s="83"/>
      <c r="C17" s="83"/>
      <c r="D17" s="83"/>
      <c r="E17" s="83"/>
      <c r="F17" s="9">
        <f>SUM(F15:F16)</f>
        <v>947880.5</v>
      </c>
      <c r="G17" s="5"/>
    </row>
    <row r="18" spans="1:14" x14ac:dyDescent="0.25">
      <c r="A18" s="46" t="s">
        <v>44</v>
      </c>
      <c r="B18" s="46"/>
      <c r="C18" s="46"/>
      <c r="D18" s="46"/>
      <c r="E18" s="46"/>
      <c r="F18" s="7"/>
    </row>
    <row r="19" spans="1:14" x14ac:dyDescent="0.25">
      <c r="A19" s="47" t="s">
        <v>45</v>
      </c>
      <c r="B19" s="47"/>
      <c r="C19" s="47"/>
      <c r="D19" s="47"/>
      <c r="E19" s="21">
        <v>140000</v>
      </c>
      <c r="F19" s="7"/>
      <c r="N19" s="8"/>
    </row>
    <row r="20" spans="1:14" x14ac:dyDescent="0.25">
      <c r="A20" s="47" t="s">
        <v>77</v>
      </c>
      <c r="B20" s="47"/>
      <c r="C20" s="48"/>
      <c r="D20" s="48"/>
      <c r="E20" s="21">
        <v>0</v>
      </c>
      <c r="F20" s="7"/>
    </row>
    <row r="21" spans="1:14" ht="15" customHeight="1" x14ac:dyDescent="0.25">
      <c r="A21" s="80" t="s">
        <v>46</v>
      </c>
      <c r="B21" s="81"/>
      <c r="C21" s="137" t="s">
        <v>89</v>
      </c>
      <c r="D21" s="138">
        <f>C7*4+C8*8</f>
        <v>60000</v>
      </c>
      <c r="E21" s="28">
        <v>0</v>
      </c>
      <c r="F21" s="7"/>
    </row>
    <row r="22" spans="1:14" x14ac:dyDescent="0.25">
      <c r="A22" s="47" t="s">
        <v>47</v>
      </c>
      <c r="B22" s="47"/>
      <c r="C22" s="49"/>
      <c r="D22" s="49"/>
      <c r="E22" s="21">
        <v>0</v>
      </c>
      <c r="F22" s="7"/>
    </row>
    <row r="23" spans="1:14" x14ac:dyDescent="0.25">
      <c r="A23" s="47" t="s">
        <v>48</v>
      </c>
      <c r="B23" s="47"/>
      <c r="C23" s="47"/>
      <c r="D23" s="47"/>
      <c r="E23" s="21">
        <v>0</v>
      </c>
      <c r="F23" s="7"/>
    </row>
    <row r="24" spans="1:14" x14ac:dyDescent="0.25">
      <c r="A24" s="47" t="s">
        <v>49</v>
      </c>
      <c r="B24" s="47"/>
      <c r="C24" s="47"/>
      <c r="D24" s="47"/>
      <c r="E24" s="21">
        <v>0</v>
      </c>
      <c r="F24" s="7"/>
    </row>
    <row r="25" spans="1:14" x14ac:dyDescent="0.25">
      <c r="A25" s="47" t="s">
        <v>50</v>
      </c>
      <c r="B25" s="47"/>
      <c r="C25" s="47"/>
      <c r="D25" s="47"/>
      <c r="E25" s="21">
        <v>0</v>
      </c>
      <c r="F25" s="7"/>
    </row>
    <row r="26" spans="1:14" x14ac:dyDescent="0.25">
      <c r="A26" s="69" t="s">
        <v>69</v>
      </c>
      <c r="B26" s="70"/>
      <c r="C26" s="70"/>
      <c r="D26" s="71"/>
      <c r="E26" s="21">
        <v>0</v>
      </c>
      <c r="F26" s="7"/>
    </row>
    <row r="27" spans="1:14" x14ac:dyDescent="0.25">
      <c r="A27" s="47" t="s">
        <v>63</v>
      </c>
      <c r="B27" s="47"/>
      <c r="C27" s="47"/>
      <c r="D27" s="47"/>
      <c r="E27" s="21">
        <v>0</v>
      </c>
      <c r="F27" s="7"/>
    </row>
    <row r="28" spans="1:14" x14ac:dyDescent="0.25">
      <c r="A28" s="65" t="s">
        <v>51</v>
      </c>
      <c r="B28" s="65"/>
      <c r="C28" s="65"/>
      <c r="D28" s="65"/>
      <c r="E28" s="65"/>
      <c r="F28" s="7">
        <f>E19+E20+E21+E22+E23+E24+E27+E25+E26</f>
        <v>140000</v>
      </c>
    </row>
    <row r="29" spans="1:14" x14ac:dyDescent="0.25">
      <c r="A29" s="63" t="s">
        <v>52</v>
      </c>
      <c r="B29" s="63"/>
      <c r="C29" s="63"/>
      <c r="D29" s="63"/>
      <c r="E29" s="63"/>
      <c r="F29" s="9">
        <f>F17-F28</f>
        <v>807880.5</v>
      </c>
    </row>
    <row r="30" spans="1:14" x14ac:dyDescent="0.25">
      <c r="A30" s="63" t="s">
        <v>53</v>
      </c>
      <c r="B30" s="63"/>
      <c r="C30" s="63"/>
      <c r="D30" s="63"/>
      <c r="E30" s="63"/>
      <c r="F30" s="31">
        <f>IF(F29&gt;500000,250000,0)*5%+IF(F29&gt;1000000,500000,IF(F29&gt;500000,F29-500000,0))*20%+IF(F29&gt;1000000,(F29-1000000),0)*30%</f>
        <v>74076.100000000006</v>
      </c>
    </row>
    <row r="31" spans="1:14" x14ac:dyDescent="0.25">
      <c r="A31" s="64" t="s">
        <v>54</v>
      </c>
      <c r="B31" s="65"/>
      <c r="C31" s="65"/>
      <c r="D31" s="65"/>
      <c r="E31" s="65"/>
      <c r="F31" s="7">
        <f>ROUND(F30*0.04,-1)</f>
        <v>2960</v>
      </c>
      <c r="M31" s="14">
        <f>SUM(A42+B42+C42+D42+E42+F42+A44+B44+C44+D44+E44+F44)</f>
        <v>77036.100000000006</v>
      </c>
    </row>
    <row r="32" spans="1:14" x14ac:dyDescent="0.25">
      <c r="A32" s="66" t="s">
        <v>58</v>
      </c>
      <c r="B32" s="67"/>
      <c r="C32" s="67"/>
      <c r="D32" s="67"/>
      <c r="E32" s="67"/>
      <c r="F32" s="32">
        <f>SUM(F30:F31)</f>
        <v>77036.100000000006</v>
      </c>
      <c r="M32" s="15">
        <f>M31-F39</f>
        <v>0</v>
      </c>
    </row>
    <row r="33" spans="1:6" x14ac:dyDescent="0.25">
      <c r="A33" s="50" t="s">
        <v>62</v>
      </c>
      <c r="B33" s="51"/>
      <c r="C33" s="51"/>
      <c r="D33" s="51"/>
      <c r="E33" s="52"/>
      <c r="F33" s="31">
        <f>ROUND(Calculation!E30,-1)*1.04</f>
        <v>77667.199999999997</v>
      </c>
    </row>
    <row r="34" spans="1:6" x14ac:dyDescent="0.25">
      <c r="A34" s="60" t="s">
        <v>59</v>
      </c>
      <c r="B34" s="61"/>
      <c r="C34" s="61"/>
      <c r="D34" s="61"/>
      <c r="E34" s="62"/>
      <c r="F34" s="29">
        <f>MIN(F32:F33)</f>
        <v>77036.100000000006</v>
      </c>
    </row>
    <row r="35" spans="1:6" x14ac:dyDescent="0.25">
      <c r="A35" s="67" t="s">
        <v>55</v>
      </c>
      <c r="B35" s="67"/>
      <c r="C35" s="67"/>
      <c r="D35" s="67"/>
      <c r="E35" s="67"/>
      <c r="F35" s="30">
        <v>0</v>
      </c>
    </row>
    <row r="36" spans="1:6" x14ac:dyDescent="0.25">
      <c r="A36" s="67" t="s">
        <v>56</v>
      </c>
      <c r="B36" s="67"/>
      <c r="C36" s="67"/>
      <c r="D36" s="67"/>
      <c r="E36" s="67"/>
      <c r="F36" s="11">
        <f>F34-F35</f>
        <v>77036.100000000006</v>
      </c>
    </row>
    <row r="37" spans="1:6" x14ac:dyDescent="0.25">
      <c r="A37" s="65" t="s">
        <v>57</v>
      </c>
      <c r="B37" s="65"/>
      <c r="C37" s="65"/>
      <c r="D37" s="65"/>
      <c r="E37" s="16">
        <v>12</v>
      </c>
      <c r="F37" s="7"/>
    </row>
    <row r="38" spans="1:6" s="33" customFormat="1" x14ac:dyDescent="0.25">
      <c r="A38" s="68" t="s">
        <v>87</v>
      </c>
      <c r="B38" s="68"/>
      <c r="C38" s="68"/>
      <c r="D38" s="68"/>
      <c r="E38" s="68"/>
      <c r="F38" s="38">
        <f>ROUND(F36/E37,-2)</f>
        <v>6400</v>
      </c>
    </row>
    <row r="39" spans="1:6" ht="15.75" thickBot="1" x14ac:dyDescent="0.3">
      <c r="A39" s="139" t="s">
        <v>68</v>
      </c>
      <c r="B39" s="140"/>
      <c r="C39" s="140"/>
      <c r="D39" s="140"/>
      <c r="E39" s="140"/>
      <c r="F39" s="141">
        <f>F34</f>
        <v>77036.100000000006</v>
      </c>
    </row>
    <row r="40" spans="1:6" ht="21" x14ac:dyDescent="0.35">
      <c r="A40" s="164" t="s">
        <v>79</v>
      </c>
      <c r="B40" s="165"/>
      <c r="C40" s="165"/>
      <c r="D40" s="165"/>
      <c r="E40" s="165"/>
      <c r="F40" s="166"/>
    </row>
    <row r="41" spans="1:6" x14ac:dyDescent="0.25">
      <c r="A41" s="142">
        <v>43891</v>
      </c>
      <c r="B41" s="34">
        <v>43922</v>
      </c>
      <c r="C41" s="34">
        <v>43952</v>
      </c>
      <c r="D41" s="34">
        <v>43983</v>
      </c>
      <c r="E41" s="34">
        <v>44013</v>
      </c>
      <c r="F41" s="143">
        <v>44044</v>
      </c>
    </row>
    <row r="42" spans="1:6" x14ac:dyDescent="0.25">
      <c r="A42" s="144">
        <f t="shared" ref="A42:F42" si="0">$F$38</f>
        <v>6400</v>
      </c>
      <c r="B42" s="35">
        <f t="shared" si="0"/>
        <v>6400</v>
      </c>
      <c r="C42" s="35">
        <f t="shared" si="0"/>
        <v>6400</v>
      </c>
      <c r="D42" s="35">
        <f t="shared" si="0"/>
        <v>6400</v>
      </c>
      <c r="E42" s="35">
        <f t="shared" si="0"/>
        <v>6400</v>
      </c>
      <c r="F42" s="145">
        <f t="shared" si="0"/>
        <v>6400</v>
      </c>
    </row>
    <row r="43" spans="1:6" s="33" customFormat="1" x14ac:dyDescent="0.25">
      <c r="A43" s="142">
        <v>44075</v>
      </c>
      <c r="B43" s="34">
        <v>44105</v>
      </c>
      <c r="C43" s="36" t="s">
        <v>66</v>
      </c>
      <c r="D43" s="34">
        <v>44166</v>
      </c>
      <c r="E43" s="34">
        <v>44197</v>
      </c>
      <c r="F43" s="143">
        <v>44228</v>
      </c>
    </row>
    <row r="44" spans="1:6" s="33" customFormat="1" ht="15.75" thickBot="1" x14ac:dyDescent="0.3">
      <c r="A44" s="146">
        <f t="shared" ref="A44:F44" si="1">$F$38</f>
        <v>6400</v>
      </c>
      <c r="B44" s="147">
        <f t="shared" si="1"/>
        <v>6400</v>
      </c>
      <c r="C44" s="147">
        <f t="shared" si="1"/>
        <v>6400</v>
      </c>
      <c r="D44" s="147">
        <f t="shared" si="1"/>
        <v>6400</v>
      </c>
      <c r="E44" s="147">
        <f t="shared" si="1"/>
        <v>6400</v>
      </c>
      <c r="F44" s="148">
        <f>F34-(A42+B42+C42+D42+E42+F42+A44+B44+C44+D44+E44)</f>
        <v>6636.1000000000058</v>
      </c>
    </row>
    <row r="45" spans="1:6" x14ac:dyDescent="0.25">
      <c r="A45" s="152" t="s">
        <v>88</v>
      </c>
      <c r="B45" s="153"/>
      <c r="C45" s="154">
        <v>43983</v>
      </c>
      <c r="D45" s="154">
        <v>44075</v>
      </c>
      <c r="E45" s="154">
        <v>44166</v>
      </c>
      <c r="F45" s="155">
        <v>44256</v>
      </c>
    </row>
    <row r="46" spans="1:6" ht="13.5" customHeight="1" x14ac:dyDescent="0.25">
      <c r="A46" s="156"/>
      <c r="B46" s="157"/>
      <c r="C46" s="158">
        <f>ROUND(F34*15%,0)</f>
        <v>11555</v>
      </c>
      <c r="D46" s="158">
        <f>ROUND(F34*45%,0)</f>
        <v>34666</v>
      </c>
      <c r="E46" s="158">
        <f>ROUND(F34*75%,0)</f>
        <v>57777</v>
      </c>
      <c r="F46" s="159">
        <f>ROUND(F34*100%,0)</f>
        <v>77036</v>
      </c>
    </row>
    <row r="47" spans="1:6" ht="15.75" thickBot="1" x14ac:dyDescent="0.3">
      <c r="A47" s="160" t="s">
        <v>67</v>
      </c>
      <c r="B47" s="161"/>
      <c r="C47" s="162">
        <f>MAX(0,C46-A42-B42-C42)</f>
        <v>0</v>
      </c>
      <c r="D47" s="162">
        <f>MAX(0,D46-A42-B42-C42-D42-E42-F42)</f>
        <v>0</v>
      </c>
      <c r="E47" s="162">
        <f>MAX(0,E46-A42-B42-C42-D42-E42-F42-A44-B44-C44)</f>
        <v>177</v>
      </c>
      <c r="F47" s="163">
        <f>MAX(0,F46-A42-B42-C42-D42-E42-F42-A44-B44-C44-D44-E44-F44)</f>
        <v>0</v>
      </c>
    </row>
    <row r="48" spans="1:6" ht="18.75" x14ac:dyDescent="0.3">
      <c r="A48" s="149" t="str">
        <f>IF((M31-F39)&lt;=0,"Income tax Payable","Income Tax Refundable")</f>
        <v>Income tax Payable</v>
      </c>
      <c r="B48" s="149"/>
      <c r="C48" s="149"/>
      <c r="D48" s="149"/>
      <c r="E48" s="150">
        <f>ABS(M32)</f>
        <v>0</v>
      </c>
      <c r="F48" s="151"/>
    </row>
    <row r="49" spans="1:6" ht="38.25" customHeight="1" x14ac:dyDescent="0.25">
      <c r="A49" s="40" t="s">
        <v>80</v>
      </c>
      <c r="B49" s="41"/>
      <c r="C49" s="41"/>
      <c r="D49" s="41"/>
      <c r="E49" s="41"/>
      <c r="F49" s="42"/>
    </row>
  </sheetData>
  <sheetProtection password="C751" sheet="1" objects="1" scenarios="1"/>
  <mergeCells count="48">
    <mergeCell ref="A11:E11"/>
    <mergeCell ref="A13:D13"/>
    <mergeCell ref="A16:E16"/>
    <mergeCell ref="A21:B21"/>
    <mergeCell ref="A10:C10"/>
    <mergeCell ref="A12:E12"/>
    <mergeCell ref="A15:E15"/>
    <mergeCell ref="A17:E17"/>
    <mergeCell ref="A32:E32"/>
    <mergeCell ref="A38:E38"/>
    <mergeCell ref="A26:D26"/>
    <mergeCell ref="A47:B47"/>
    <mergeCell ref="A40:F40"/>
    <mergeCell ref="A39:E39"/>
    <mergeCell ref="A45:B46"/>
    <mergeCell ref="A36:E36"/>
    <mergeCell ref="A35:E35"/>
    <mergeCell ref="A37:D37"/>
    <mergeCell ref="A28:E28"/>
    <mergeCell ref="A29:E29"/>
    <mergeCell ref="A1:F1"/>
    <mergeCell ref="A2:F2"/>
    <mergeCell ref="B3:D3"/>
    <mergeCell ref="B8:B9"/>
    <mergeCell ref="C8:C9"/>
    <mergeCell ref="D8:D9"/>
    <mergeCell ref="E8:E9"/>
    <mergeCell ref="F8:F9"/>
    <mergeCell ref="A5:B5"/>
    <mergeCell ref="D5:E5"/>
    <mergeCell ref="B4:C4"/>
    <mergeCell ref="D4:E4"/>
    <mergeCell ref="A49:F49"/>
    <mergeCell ref="A14:E14"/>
    <mergeCell ref="A18:E18"/>
    <mergeCell ref="A27:D27"/>
    <mergeCell ref="A23:D23"/>
    <mergeCell ref="A24:D24"/>
    <mergeCell ref="A25:D25"/>
    <mergeCell ref="A20:D20"/>
    <mergeCell ref="A22:D22"/>
    <mergeCell ref="A33:E33"/>
    <mergeCell ref="A48:D48"/>
    <mergeCell ref="E48:F48"/>
    <mergeCell ref="A19:D19"/>
    <mergeCell ref="A34:E34"/>
    <mergeCell ref="A30:E30"/>
    <mergeCell ref="A31:E31"/>
  </mergeCells>
  <dataValidations count="5">
    <dataValidation type="whole" operator="lessThanOrEqual" allowBlank="1" showInputMessage="1" showErrorMessage="1" error="MAX AMOUNT DEDUCTIBLE U/S TTA IS 40000 RS ONLY." sqref="E25:E26" xr:uid="{00000000-0002-0000-0100-000000000000}">
      <formula1>40000</formula1>
    </dataValidation>
    <dataValidation type="whole" operator="lessThanOrEqual" allowBlank="1" showInputMessage="1" showErrorMessage="1" error="DEDUCTION U/S 80 D CANT BE EXCEED THAN 25000" sqref="E23" xr:uid="{00000000-0002-0000-0100-000001000000}">
      <formula1>25000</formula1>
    </dataValidation>
    <dataValidation type="whole" operator="lessThanOrEqual" allowBlank="1" showInputMessage="1" showErrorMessage="1" error="DEUCTION U/S 24 CANT BE EXCEED THAN 200000" sqref="E22" xr:uid="{00000000-0002-0000-0100-000002000000}">
      <formula1>200000</formula1>
    </dataValidation>
    <dataValidation type="whole" operator="lessThanOrEqual" allowBlank="1" showInputMessage="1" showErrorMessage="1" error="DEDUCTION UNDER SECTION 80C,CCC AND CCD CANT BE EXCEED THAN 150000" sqref="E19" xr:uid="{00000000-0002-0000-0100-000003000000}">
      <formula1>150000</formula1>
    </dataValidation>
    <dataValidation type="list" allowBlank="1" showInputMessage="1" showErrorMessage="1" sqref="E13" xr:uid="{00000000-0002-0000-0100-000004000000}">
      <formula1>"BEFORE JULY,AFTER JULY,NOT APPLICABLE "</formula1>
    </dataValidation>
  </dataValidations>
  <hyperlinks>
    <hyperlink ref="A31" r:id="rId1" xr:uid="{00000000-0004-0000-0100-000000000000}"/>
  </hyperlinks>
  <pageMargins left="0.70866141732283472" right="0.11811023622047245" top="0.15748031496062992" bottom="0.15748031496062992" header="0" footer="0"/>
  <pageSetup paperSize="9"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E3CB7-E4D6-459D-AC4A-FF87DAFC3A76}">
  <dimension ref="F8"/>
  <sheetViews>
    <sheetView workbookViewId="0">
      <selection activeCell="L21" sqref="L21"/>
    </sheetView>
  </sheetViews>
  <sheetFormatPr defaultRowHeight="15" x14ac:dyDescent="0.25"/>
  <cols>
    <col min="1" max="16384" width="9.140625" style="136"/>
  </cols>
  <sheetData>
    <row r="8" spans="6:6" ht="26.25" x14ac:dyDescent="0.4">
      <c r="F8" s="135" t="s">
        <v>84</v>
      </c>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51"/>
  <sheetViews>
    <sheetView workbookViewId="0">
      <selection activeCell="B15" sqref="B15"/>
    </sheetView>
  </sheetViews>
  <sheetFormatPr defaultColWidth="31.7109375" defaultRowHeight="15" zeroHeight="1" x14ac:dyDescent="0.25"/>
  <cols>
    <col min="1" max="16384" width="31.7109375" style="85"/>
  </cols>
  <sheetData>
    <row r="1" spans="1:22" ht="52.15" customHeight="1" x14ac:dyDescent="0.25">
      <c r="A1" s="84"/>
      <c r="B1" s="84"/>
      <c r="C1" s="84"/>
      <c r="D1" s="84"/>
      <c r="E1" s="84"/>
      <c r="F1" s="84"/>
      <c r="I1" s="85">
        <f>Calculation!L12</f>
        <v>74682.074999999997</v>
      </c>
    </row>
    <row r="2" spans="1:22" ht="3.6" customHeight="1" x14ac:dyDescent="0.25">
      <c r="A2" s="84"/>
      <c r="F2" s="84"/>
    </row>
    <row r="3" spans="1:22" ht="22.9" customHeight="1" x14ac:dyDescent="0.25">
      <c r="A3" s="84"/>
      <c r="B3" s="86" t="s">
        <v>78</v>
      </c>
      <c r="C3" s="86"/>
      <c r="D3" s="86"/>
      <c r="E3" s="86"/>
      <c r="F3" s="84"/>
      <c r="G3" s="87" t="s">
        <v>0</v>
      </c>
    </row>
    <row r="4" spans="1:22" ht="41.45" customHeight="1" x14ac:dyDescent="0.25">
      <c r="A4" s="84"/>
      <c r="B4" s="88"/>
      <c r="C4" s="89"/>
      <c r="D4" s="89"/>
      <c r="E4" s="90" t="s">
        <v>2</v>
      </c>
      <c r="F4" s="84"/>
      <c r="G4" s="87" t="s">
        <v>1</v>
      </c>
    </row>
    <row r="5" spans="1:22" ht="3.6" customHeight="1" x14ac:dyDescent="0.25">
      <c r="A5" s="84"/>
      <c r="B5" s="91"/>
      <c r="C5" s="91"/>
      <c r="D5" s="91"/>
      <c r="E5" s="91"/>
      <c r="F5" s="84"/>
      <c r="G5" s="87" t="s">
        <v>2</v>
      </c>
    </row>
    <row r="6" spans="1:22" ht="15.75" x14ac:dyDescent="0.25">
      <c r="A6" s="92"/>
      <c r="B6" s="93" t="s">
        <v>3</v>
      </c>
      <c r="C6" s="94" t="s">
        <v>4</v>
      </c>
      <c r="D6" s="95"/>
      <c r="E6" s="96">
        <f>Master!F15</f>
        <v>997880.5</v>
      </c>
      <c r="F6" s="92"/>
      <c r="G6" s="87"/>
    </row>
    <row r="7" spans="1:22" ht="33" customHeight="1" x14ac:dyDescent="0.25">
      <c r="A7" s="92"/>
      <c r="B7" s="97" t="s">
        <v>5</v>
      </c>
      <c r="C7" s="98" t="s">
        <v>6</v>
      </c>
      <c r="D7" s="99"/>
      <c r="E7" s="100" t="s">
        <v>7</v>
      </c>
      <c r="F7" s="92"/>
      <c r="G7" s="87"/>
      <c r="I7" s="87" t="s">
        <v>8</v>
      </c>
      <c r="J7" s="87">
        <f>E27</f>
        <v>997880.5</v>
      </c>
      <c r="K7" s="87"/>
      <c r="L7" s="87"/>
      <c r="M7" s="87"/>
      <c r="O7" s="87"/>
      <c r="Q7" s="85" t="s">
        <v>9</v>
      </c>
      <c r="R7" s="85" t="s">
        <v>10</v>
      </c>
      <c r="S7" s="101" t="s">
        <v>11</v>
      </c>
      <c r="T7" s="85" t="s">
        <v>12</v>
      </c>
      <c r="U7" s="85" t="s">
        <v>10</v>
      </c>
      <c r="V7" s="101" t="s">
        <v>11</v>
      </c>
    </row>
    <row r="8" spans="1:22" ht="15.75" x14ac:dyDescent="0.25">
      <c r="A8" s="92"/>
      <c r="B8" s="102">
        <v>1</v>
      </c>
      <c r="C8" s="103"/>
      <c r="D8" s="104"/>
      <c r="E8" s="105"/>
      <c r="F8" s="92"/>
      <c r="G8" s="87"/>
      <c r="I8" s="87" t="s">
        <v>13</v>
      </c>
      <c r="J8" s="106">
        <f>E6-(E11+E17)</f>
        <v>997880.5</v>
      </c>
      <c r="K8" s="87"/>
      <c r="L8" s="87"/>
      <c r="M8" s="87"/>
      <c r="N8" s="87" t="s">
        <v>0</v>
      </c>
      <c r="O8" s="87"/>
      <c r="Q8" s="85">
        <f>J11</f>
        <v>109576.1</v>
      </c>
      <c r="R8" s="85">
        <f t="shared" ref="R8:R10" si="0">IF($J$7&gt;500000,0,Q8)</f>
        <v>0</v>
      </c>
      <c r="S8" s="101">
        <f t="shared" ref="S8:S10" si="1">Q8-R8</f>
        <v>109576.1</v>
      </c>
      <c r="T8" s="85">
        <f>J12</f>
        <v>74682.074999999997</v>
      </c>
      <c r="U8" s="85">
        <f t="shared" ref="U8:U10" si="2">IF($J$8&gt;500000,0,T8)</f>
        <v>0</v>
      </c>
      <c r="V8" s="101">
        <f t="shared" ref="V8:V10" si="3">T8-U8</f>
        <v>74682.074999999997</v>
      </c>
    </row>
    <row r="9" spans="1:22" ht="15.75" x14ac:dyDescent="0.25">
      <c r="A9" s="92"/>
      <c r="B9" s="102">
        <v>2</v>
      </c>
      <c r="C9" s="103"/>
      <c r="D9" s="104"/>
      <c r="E9" s="105"/>
      <c r="F9" s="92"/>
      <c r="G9" s="87"/>
      <c r="I9" s="107"/>
      <c r="J9" s="107"/>
      <c r="K9" s="107"/>
      <c r="L9" s="107"/>
      <c r="M9" s="87"/>
      <c r="N9" s="87" t="s">
        <v>1</v>
      </c>
      <c r="O9" s="87"/>
      <c r="Q9" s="85">
        <f>K11</f>
        <v>99576.1</v>
      </c>
      <c r="R9" s="85">
        <f t="shared" si="0"/>
        <v>0</v>
      </c>
      <c r="S9" s="101">
        <f t="shared" si="1"/>
        <v>99576.1</v>
      </c>
      <c r="T9" s="85">
        <f>K12</f>
        <v>74682.074999999997</v>
      </c>
      <c r="U9" s="85">
        <f t="shared" si="2"/>
        <v>0</v>
      </c>
      <c r="V9" s="101">
        <f t="shared" si="3"/>
        <v>74682.074999999997</v>
      </c>
    </row>
    <row r="10" spans="1:22" ht="15.75" x14ac:dyDescent="0.25">
      <c r="A10" s="92"/>
      <c r="B10" s="102">
        <v>3</v>
      </c>
      <c r="C10" s="103"/>
      <c r="D10" s="104"/>
      <c r="E10" s="105"/>
      <c r="F10" s="92"/>
      <c r="G10" s="87"/>
      <c r="I10" s="108"/>
      <c r="J10" s="109" t="s">
        <v>14</v>
      </c>
      <c r="K10" s="109" t="s">
        <v>15</v>
      </c>
      <c r="L10" s="109" t="s">
        <v>16</v>
      </c>
      <c r="M10" s="87"/>
      <c r="N10" s="87" t="s">
        <v>2</v>
      </c>
      <c r="O10" s="87"/>
      <c r="Q10" s="85">
        <f>L11</f>
        <v>112076.1</v>
      </c>
      <c r="R10" s="85">
        <f t="shared" si="0"/>
        <v>0</v>
      </c>
      <c r="S10" s="101">
        <f t="shared" si="1"/>
        <v>112076.1</v>
      </c>
      <c r="T10" s="85">
        <f>L12</f>
        <v>74682.074999999997</v>
      </c>
      <c r="U10" s="85">
        <f t="shared" si="2"/>
        <v>0</v>
      </c>
      <c r="V10" s="101">
        <f t="shared" si="3"/>
        <v>74682.074999999997</v>
      </c>
    </row>
    <row r="11" spans="1:22" ht="15.75" x14ac:dyDescent="0.25">
      <c r="A11" s="92"/>
      <c r="B11" s="102">
        <f t="shared" ref="B11:B26" si="4">B10+1</f>
        <v>4</v>
      </c>
      <c r="C11" s="103"/>
      <c r="D11" s="104"/>
      <c r="E11" s="105"/>
      <c r="F11" s="92"/>
      <c r="G11" s="87"/>
      <c r="I11" s="108" t="s">
        <v>17</v>
      </c>
      <c r="J11" s="108">
        <f>SUMPRODUCT(--(J7&gt;(J30:J32)), (J7-(J30:J32)), (L31:L33))</f>
        <v>109576.1</v>
      </c>
      <c r="K11" s="108">
        <f>SUMPRODUCT(--(J7&gt;(J38:J39)), (J7-(J38:J39)), (L39:L40))</f>
        <v>99576.1</v>
      </c>
      <c r="L11" s="108">
        <f>SUMPRODUCT(--(J7&gt;(J20:J22)), (J7-(J20:J22)), (L21:L23))</f>
        <v>112076.1</v>
      </c>
      <c r="M11" s="87"/>
      <c r="N11" s="87"/>
      <c r="O11" s="87"/>
    </row>
    <row r="12" spans="1:22" ht="15.75" x14ac:dyDescent="0.25">
      <c r="A12" s="92"/>
      <c r="B12" s="102">
        <f t="shared" si="4"/>
        <v>5</v>
      </c>
      <c r="C12" s="103"/>
      <c r="D12" s="104"/>
      <c r="E12" s="105"/>
      <c r="F12" s="92"/>
      <c r="G12" s="87"/>
      <c r="I12" s="108" t="s">
        <v>18</v>
      </c>
      <c r="J12" s="108">
        <f>SUMPRODUCT(--(J8&gt;(O20:O25)), (J8-(O20:O25)), (Q21:Q26))</f>
        <v>74682.074999999997</v>
      </c>
      <c r="K12" s="108">
        <f>SUMPRODUCT(--(J8&gt;(O20:O25)), (J8-(O20:O25)), (Q21:Q26))</f>
        <v>74682.074999999997</v>
      </c>
      <c r="L12" s="108">
        <f>SUMPRODUCT(--(J8&gt;(O20:O25)), (J8-(O20:O25)), (Q21:Q26))</f>
        <v>74682.074999999997</v>
      </c>
      <c r="M12" s="87"/>
      <c r="N12" s="110" t="s">
        <v>19</v>
      </c>
      <c r="O12" s="87"/>
      <c r="Q12" s="85" t="s">
        <v>9</v>
      </c>
      <c r="R12" s="85" t="s">
        <v>12</v>
      </c>
    </row>
    <row r="13" spans="1:22" ht="15.75" x14ac:dyDescent="0.25">
      <c r="A13" s="92"/>
      <c r="B13" s="102">
        <f t="shared" si="4"/>
        <v>6</v>
      </c>
      <c r="C13" s="103"/>
      <c r="D13" s="104"/>
      <c r="E13" s="105"/>
      <c r="F13" s="92"/>
      <c r="G13" s="87"/>
      <c r="I13" s="87"/>
      <c r="J13" s="87"/>
      <c r="K13" s="87"/>
      <c r="L13" s="87"/>
      <c r="M13" s="87"/>
      <c r="N13" s="87" t="str">
        <f>E4</f>
        <v>Other</v>
      </c>
      <c r="O13" s="87"/>
      <c r="Q13" s="85">
        <f>VLOOKUP(E4,N8:S10,6,0)</f>
        <v>112076.1</v>
      </c>
      <c r="R13" s="85">
        <f>VLOOKUP(E4,N8:V10,9,0)</f>
        <v>74682.074999999997</v>
      </c>
    </row>
    <row r="14" spans="1:22" ht="15.75" x14ac:dyDescent="0.25">
      <c r="A14" s="92"/>
      <c r="B14" s="102">
        <f t="shared" si="4"/>
        <v>7</v>
      </c>
      <c r="C14" s="103"/>
      <c r="D14" s="104"/>
      <c r="E14" s="105"/>
      <c r="F14" s="92"/>
      <c r="G14" s="87"/>
      <c r="I14" s="87"/>
      <c r="J14" s="87"/>
      <c r="K14" s="87"/>
      <c r="L14" s="87"/>
      <c r="M14" s="87"/>
      <c r="N14" s="87"/>
      <c r="O14" s="87"/>
    </row>
    <row r="15" spans="1:22" ht="15.75" x14ac:dyDescent="0.25">
      <c r="A15" s="92"/>
      <c r="B15" s="102">
        <f t="shared" si="4"/>
        <v>8</v>
      </c>
      <c r="C15" s="103"/>
      <c r="D15" s="104"/>
      <c r="E15" s="105"/>
      <c r="F15" s="92"/>
      <c r="G15" s="87"/>
      <c r="I15" s="87"/>
      <c r="J15" s="87"/>
      <c r="K15" s="87"/>
      <c r="L15" s="87"/>
      <c r="M15" s="87"/>
      <c r="N15" s="87"/>
      <c r="O15" s="87"/>
    </row>
    <row r="16" spans="1:22" ht="45.6" customHeight="1" x14ac:dyDescent="0.25">
      <c r="A16" s="92"/>
      <c r="B16" s="102">
        <f t="shared" si="4"/>
        <v>9</v>
      </c>
      <c r="C16" s="111"/>
      <c r="D16" s="111"/>
      <c r="E16" s="105"/>
      <c r="F16" s="92"/>
      <c r="G16" s="87"/>
      <c r="I16" s="87"/>
      <c r="J16" s="87"/>
      <c r="K16" s="87"/>
      <c r="L16" s="87"/>
      <c r="M16" s="87"/>
      <c r="N16" s="87"/>
      <c r="O16" s="87"/>
    </row>
    <row r="17" spans="1:17" ht="31.9" customHeight="1" x14ac:dyDescent="0.25">
      <c r="A17" s="92"/>
      <c r="B17" s="102">
        <f t="shared" si="4"/>
        <v>10</v>
      </c>
      <c r="C17" s="112"/>
      <c r="D17" s="113"/>
      <c r="E17" s="105"/>
      <c r="F17" s="92"/>
      <c r="G17" s="87"/>
      <c r="I17" s="87"/>
      <c r="J17" s="87"/>
      <c r="K17" s="87"/>
      <c r="L17" s="87"/>
      <c r="M17" s="87"/>
      <c r="N17" s="87"/>
      <c r="O17" s="87"/>
    </row>
    <row r="18" spans="1:17" ht="15.75" x14ac:dyDescent="0.25">
      <c r="A18" s="92"/>
      <c r="B18" s="102">
        <f t="shared" si="4"/>
        <v>11</v>
      </c>
      <c r="C18" s="103"/>
      <c r="D18" s="104"/>
      <c r="E18" s="105"/>
      <c r="F18" s="92"/>
      <c r="G18" s="87"/>
      <c r="I18" s="87" t="s">
        <v>20</v>
      </c>
      <c r="J18" s="87"/>
      <c r="K18" s="87"/>
      <c r="L18" s="87"/>
      <c r="M18" s="87"/>
      <c r="N18" s="87" t="s">
        <v>21</v>
      </c>
      <c r="O18" s="87"/>
    </row>
    <row r="19" spans="1:17" ht="15.75" x14ac:dyDescent="0.25">
      <c r="A19" s="92"/>
      <c r="B19" s="102">
        <f t="shared" si="4"/>
        <v>12</v>
      </c>
      <c r="C19" s="103"/>
      <c r="D19" s="104"/>
      <c r="E19" s="105"/>
      <c r="F19" s="92"/>
      <c r="G19" s="87"/>
      <c r="I19" s="114" t="s">
        <v>22</v>
      </c>
      <c r="J19" s="114" t="s">
        <v>23</v>
      </c>
      <c r="K19" s="114" t="s">
        <v>24</v>
      </c>
      <c r="L19" s="114" t="s">
        <v>25</v>
      </c>
      <c r="M19" s="87"/>
      <c r="N19" s="114" t="s">
        <v>22</v>
      </c>
      <c r="O19" s="114" t="s">
        <v>23</v>
      </c>
      <c r="P19" s="114" t="s">
        <v>24</v>
      </c>
      <c r="Q19" s="114" t="s">
        <v>25</v>
      </c>
    </row>
    <row r="20" spans="1:17" ht="15.75" x14ac:dyDescent="0.25">
      <c r="A20" s="92"/>
      <c r="B20" s="102">
        <f t="shared" si="4"/>
        <v>13</v>
      </c>
      <c r="C20" s="103"/>
      <c r="D20" s="104"/>
      <c r="E20" s="105"/>
      <c r="F20" s="92"/>
      <c r="G20" s="87"/>
      <c r="I20" s="115">
        <v>0</v>
      </c>
      <c r="J20" s="115">
        <v>250000</v>
      </c>
      <c r="K20" s="116">
        <v>0</v>
      </c>
      <c r="L20" s="116"/>
      <c r="M20" s="87"/>
      <c r="N20" s="115">
        <v>0</v>
      </c>
      <c r="O20" s="115">
        <v>250000</v>
      </c>
      <c r="P20" s="116">
        <v>0</v>
      </c>
      <c r="Q20" s="116"/>
    </row>
    <row r="21" spans="1:17" ht="15.75" x14ac:dyDescent="0.25">
      <c r="A21" s="92"/>
      <c r="B21" s="102">
        <f t="shared" si="4"/>
        <v>14</v>
      </c>
      <c r="C21" s="103"/>
      <c r="D21" s="104"/>
      <c r="E21" s="105"/>
      <c r="F21" s="92"/>
      <c r="G21" s="87"/>
      <c r="I21" s="115">
        <v>250001</v>
      </c>
      <c r="J21" s="115">
        <v>500000</v>
      </c>
      <c r="K21" s="116">
        <v>0.05</v>
      </c>
      <c r="L21" s="116">
        <f t="shared" ref="L21:L23" si="5">K21-K20</f>
        <v>0.05</v>
      </c>
      <c r="M21" s="87"/>
      <c r="N21" s="115">
        <v>250001</v>
      </c>
      <c r="O21" s="115">
        <v>500000</v>
      </c>
      <c r="P21" s="116">
        <v>0.05</v>
      </c>
      <c r="Q21" s="116">
        <f t="shared" ref="Q21:Q26" si="6">P21-P20</f>
        <v>0.05</v>
      </c>
    </row>
    <row r="22" spans="1:17" ht="15.75" x14ac:dyDescent="0.25">
      <c r="A22" s="92"/>
      <c r="B22" s="102">
        <f t="shared" si="4"/>
        <v>15</v>
      </c>
      <c r="C22" s="103"/>
      <c r="D22" s="104"/>
      <c r="E22" s="105"/>
      <c r="F22" s="92"/>
      <c r="G22" s="87"/>
      <c r="I22" s="115">
        <v>500001</v>
      </c>
      <c r="J22" s="115">
        <v>1000000</v>
      </c>
      <c r="K22" s="116">
        <v>0.2</v>
      </c>
      <c r="L22" s="116">
        <f t="shared" si="5"/>
        <v>0.15000000000000002</v>
      </c>
      <c r="M22" s="87"/>
      <c r="N22" s="115">
        <v>500001</v>
      </c>
      <c r="O22" s="115">
        <v>750000</v>
      </c>
      <c r="P22" s="116">
        <v>0.1</v>
      </c>
      <c r="Q22" s="116">
        <f t="shared" si="6"/>
        <v>0.05</v>
      </c>
    </row>
    <row r="23" spans="1:17" ht="15.75" x14ac:dyDescent="0.25">
      <c r="A23" s="92"/>
      <c r="B23" s="102">
        <f t="shared" si="4"/>
        <v>16</v>
      </c>
      <c r="C23" s="103"/>
      <c r="D23" s="104"/>
      <c r="E23" s="105"/>
      <c r="F23" s="92"/>
      <c r="G23" s="87"/>
      <c r="I23" s="117" t="s">
        <v>26</v>
      </c>
      <c r="J23" s="117"/>
      <c r="K23" s="118">
        <v>0.30000000000000004</v>
      </c>
      <c r="L23" s="118">
        <f t="shared" si="5"/>
        <v>0.10000000000000003</v>
      </c>
      <c r="M23" s="87"/>
      <c r="N23" s="115">
        <v>750001</v>
      </c>
      <c r="O23" s="115">
        <v>1000000</v>
      </c>
      <c r="P23" s="116">
        <v>0.15</v>
      </c>
      <c r="Q23" s="116">
        <f t="shared" si="6"/>
        <v>4.9999999999999989E-2</v>
      </c>
    </row>
    <row r="24" spans="1:17" ht="15.75" x14ac:dyDescent="0.25">
      <c r="A24" s="92"/>
      <c r="B24" s="102">
        <f t="shared" si="4"/>
        <v>17</v>
      </c>
      <c r="C24" s="103"/>
      <c r="D24" s="104"/>
      <c r="E24" s="105"/>
      <c r="F24" s="92"/>
      <c r="G24" s="87"/>
      <c r="I24" s="119"/>
      <c r="J24" s="119"/>
      <c r="K24" s="119"/>
      <c r="L24" s="119"/>
      <c r="M24" s="87"/>
      <c r="N24" s="115">
        <v>1000001</v>
      </c>
      <c r="O24" s="115">
        <v>1250000</v>
      </c>
      <c r="P24" s="116">
        <v>0.2</v>
      </c>
      <c r="Q24" s="116">
        <f t="shared" si="6"/>
        <v>5.0000000000000017E-2</v>
      </c>
    </row>
    <row r="25" spans="1:17" ht="15.75" x14ac:dyDescent="0.25">
      <c r="A25" s="92"/>
      <c r="B25" s="102">
        <f t="shared" si="4"/>
        <v>18</v>
      </c>
      <c r="C25" s="103"/>
      <c r="D25" s="104"/>
      <c r="E25" s="105"/>
      <c r="F25" s="92"/>
      <c r="G25" s="87"/>
      <c r="I25" s="119"/>
      <c r="J25" s="119"/>
      <c r="K25" s="119"/>
      <c r="L25" s="119"/>
      <c r="M25" s="87"/>
      <c r="N25" s="115">
        <v>1250001</v>
      </c>
      <c r="O25" s="115">
        <v>1500000</v>
      </c>
      <c r="P25" s="116">
        <v>0.25</v>
      </c>
      <c r="Q25" s="116">
        <f t="shared" si="6"/>
        <v>4.9999999999999989E-2</v>
      </c>
    </row>
    <row r="26" spans="1:17" ht="15.75" x14ac:dyDescent="0.25">
      <c r="A26" s="92"/>
      <c r="B26" s="120">
        <f t="shared" si="4"/>
        <v>19</v>
      </c>
      <c r="C26" s="121"/>
      <c r="D26" s="122"/>
      <c r="E26" s="123"/>
      <c r="F26" s="92"/>
      <c r="G26" s="87"/>
      <c r="I26" s="124" t="s">
        <v>27</v>
      </c>
      <c r="J26" s="119"/>
      <c r="K26" s="119"/>
      <c r="L26" s="119"/>
      <c r="M26" s="87"/>
      <c r="N26" s="115" t="s">
        <v>28</v>
      </c>
      <c r="O26" s="115"/>
      <c r="P26" s="116">
        <v>0.30000000000000004</v>
      </c>
      <c r="Q26" s="116">
        <f t="shared" si="6"/>
        <v>5.0000000000000044E-2</v>
      </c>
    </row>
    <row r="27" spans="1:17" ht="15.75" x14ac:dyDescent="0.25">
      <c r="A27" s="92"/>
      <c r="B27" s="125" t="s">
        <v>29</v>
      </c>
      <c r="C27" s="126" t="s">
        <v>30</v>
      </c>
      <c r="D27" s="95"/>
      <c r="E27" s="127">
        <f>E6-SUM(E8:E26)</f>
        <v>997880.5</v>
      </c>
      <c r="F27" s="92"/>
      <c r="G27" s="87"/>
      <c r="I27" s="114" t="s">
        <v>22</v>
      </c>
      <c r="J27" s="114" t="s">
        <v>23</v>
      </c>
      <c r="K27" s="114" t="s">
        <v>24</v>
      </c>
      <c r="L27" s="114" t="s">
        <v>25</v>
      </c>
      <c r="M27" s="87"/>
      <c r="N27" s="87"/>
      <c r="O27" s="87"/>
    </row>
    <row r="28" spans="1:17" ht="10.15" customHeight="1" x14ac:dyDescent="0.25">
      <c r="A28" s="92"/>
      <c r="B28" s="128"/>
      <c r="C28" s="129"/>
      <c r="D28" s="130"/>
      <c r="E28" s="131"/>
      <c r="F28" s="92"/>
      <c r="G28" s="87"/>
      <c r="I28" s="115"/>
      <c r="J28" s="115"/>
      <c r="K28" s="115"/>
      <c r="L28" s="115"/>
      <c r="M28" s="87"/>
      <c r="N28" s="87"/>
      <c r="O28" s="87"/>
    </row>
    <row r="29" spans="1:17" ht="15.75" x14ac:dyDescent="0.25">
      <c r="A29" s="92"/>
      <c r="B29" s="128"/>
      <c r="C29" s="129" t="s">
        <v>31</v>
      </c>
      <c r="D29" s="130"/>
      <c r="E29" s="37">
        <f>Q13</f>
        <v>112076.1</v>
      </c>
      <c r="F29" s="92"/>
      <c r="G29" s="87"/>
      <c r="I29" s="115"/>
      <c r="J29" s="115"/>
      <c r="K29" s="115"/>
      <c r="L29" s="115"/>
      <c r="M29" s="87"/>
      <c r="N29" s="87"/>
      <c r="O29" s="87"/>
    </row>
    <row r="30" spans="1:17" ht="16.5" customHeight="1" x14ac:dyDescent="0.25">
      <c r="A30" s="84"/>
      <c r="C30" s="129" t="s">
        <v>32</v>
      </c>
      <c r="E30" s="37">
        <f>R13</f>
        <v>74682.074999999997</v>
      </c>
      <c r="F30" s="84"/>
      <c r="I30" s="115">
        <v>0</v>
      </c>
      <c r="J30" s="115">
        <v>300000</v>
      </c>
      <c r="K30" s="116">
        <v>0</v>
      </c>
      <c r="L30" s="116"/>
    </row>
    <row r="31" spans="1:17" ht="106.15" customHeight="1" x14ac:dyDescent="0.25">
      <c r="A31" s="84"/>
      <c r="B31" s="132" t="s">
        <v>33</v>
      </c>
      <c r="C31" s="132"/>
      <c r="D31" s="132"/>
      <c r="E31" s="132"/>
      <c r="F31" s="133"/>
      <c r="G31" s="134"/>
      <c r="I31" s="115">
        <v>300001</v>
      </c>
      <c r="J31" s="115">
        <v>500000</v>
      </c>
      <c r="K31" s="116">
        <v>0.05</v>
      </c>
      <c r="L31" s="116">
        <f t="shared" ref="L31:L33" si="7">K31-K30</f>
        <v>0.05</v>
      </c>
    </row>
    <row r="32" spans="1:17" x14ac:dyDescent="0.25">
      <c r="A32" s="84"/>
      <c r="F32" s="84"/>
      <c r="I32" s="115">
        <v>500001</v>
      </c>
      <c r="J32" s="115">
        <v>1000000</v>
      </c>
      <c r="K32" s="116">
        <v>0.2</v>
      </c>
      <c r="L32" s="116">
        <f t="shared" si="7"/>
        <v>0.15000000000000002</v>
      </c>
    </row>
    <row r="33" spans="1:12" x14ac:dyDescent="0.25">
      <c r="A33" s="84"/>
      <c r="B33" s="84"/>
      <c r="C33" s="84"/>
      <c r="D33" s="84"/>
      <c r="E33" s="84"/>
      <c r="F33" s="84"/>
      <c r="I33" s="117" t="s">
        <v>26</v>
      </c>
      <c r="J33" s="117"/>
      <c r="K33" s="118">
        <v>0.30000000000000004</v>
      </c>
      <c r="L33" s="118">
        <f t="shared" si="7"/>
        <v>0.10000000000000003</v>
      </c>
    </row>
    <row r="34" spans="1:12" hidden="1" x14ac:dyDescent="0.25">
      <c r="I34" s="119"/>
      <c r="J34" s="119"/>
      <c r="K34" s="119"/>
      <c r="L34" s="119"/>
    </row>
    <row r="35" spans="1:12" hidden="1" x14ac:dyDescent="0.25">
      <c r="I35" s="119"/>
      <c r="J35" s="119"/>
      <c r="K35" s="119"/>
      <c r="L35" s="119"/>
    </row>
    <row r="36" spans="1:12" hidden="1" x14ac:dyDescent="0.25">
      <c r="I36" s="124" t="s">
        <v>27</v>
      </c>
      <c r="J36" s="119"/>
      <c r="K36" s="119"/>
      <c r="L36" s="119"/>
    </row>
    <row r="37" spans="1:12" hidden="1" x14ac:dyDescent="0.25">
      <c r="I37" s="114" t="s">
        <v>22</v>
      </c>
      <c r="J37" s="114" t="s">
        <v>23</v>
      </c>
      <c r="K37" s="114" t="s">
        <v>24</v>
      </c>
      <c r="L37" s="114" t="s">
        <v>25</v>
      </c>
    </row>
    <row r="38" spans="1:12" hidden="1" x14ac:dyDescent="0.25">
      <c r="I38" s="115">
        <v>0</v>
      </c>
      <c r="J38" s="115">
        <v>500000</v>
      </c>
      <c r="K38" s="116">
        <v>0</v>
      </c>
      <c r="L38" s="116"/>
    </row>
    <row r="39" spans="1:12" hidden="1" x14ac:dyDescent="0.25">
      <c r="I39" s="115">
        <v>500001</v>
      </c>
      <c r="J39" s="115">
        <v>1000000</v>
      </c>
      <c r="K39" s="116">
        <v>0.2</v>
      </c>
      <c r="L39" s="116">
        <f t="shared" ref="L39:L40" si="8">K39-K38</f>
        <v>0.2</v>
      </c>
    </row>
    <row r="40" spans="1:12" hidden="1" x14ac:dyDescent="0.25">
      <c r="I40" s="117" t="s">
        <v>26</v>
      </c>
      <c r="J40" s="117"/>
      <c r="K40" s="118">
        <v>0.30000000000000004</v>
      </c>
      <c r="L40" s="118">
        <f t="shared" si="8"/>
        <v>0.10000000000000003</v>
      </c>
    </row>
    <row r="51" x14ac:dyDescent="0.25"/>
  </sheetData>
  <sheetProtection password="C751" sheet="1" objects="1" scenarios="1"/>
  <mergeCells count="5">
    <mergeCell ref="B3:E3"/>
    <mergeCell ref="C4:D4"/>
    <mergeCell ref="B5:E5"/>
    <mergeCell ref="C16:D16"/>
    <mergeCell ref="B31:E31"/>
  </mergeCells>
  <dataValidations count="1">
    <dataValidation type="list" allowBlank="1" showInputMessage="1" showErrorMessage="1" sqref="E4" xr:uid="{00000000-0002-0000-0200-000000000000}">
      <formula1>category</formula1>
      <formula2>0</formula2>
    </dataValidation>
  </dataValidations>
  <pageMargins left="0.7" right="0.7" top="0.75" bottom="0.75" header="0.51180555555555551" footer="0.51180555555555551"/>
  <pageSetup firstPageNumber="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Master</vt:lpstr>
      <vt:lpstr>Instructions</vt:lpstr>
      <vt:lpstr>Calculation</vt:lpstr>
      <vt:lpstr>category</vt:lpstr>
      <vt:lpstr>Master!Print_Area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lohani</dc:creator>
  <cp:lastModifiedBy>My PC</cp:lastModifiedBy>
  <cp:revision>0</cp:revision>
  <cp:lastPrinted>2020-05-09T10:21:35Z</cp:lastPrinted>
  <dcterms:created xsi:type="dcterms:W3CDTF">2020-02-02T04:09:35Z</dcterms:created>
  <dcterms:modified xsi:type="dcterms:W3CDTF">2020-05-09T10:22:11Z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